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3040" windowHeight="9192"/>
  </bookViews>
  <sheets>
    <sheet name="прайс БРАЕР-2" sheetId="4" r:id="rId1"/>
    <sheet name="Лист1" sheetId="6" state="hidden" r:id="rId2"/>
  </sheets>
  <definedNames>
    <definedName name="_xlnm._FilterDatabase" localSheetId="0" hidden="1">'прайс БРАЕР-2'!$A$7:$T$225</definedName>
  </definedNames>
  <calcPr calcId="125725"/>
</workbook>
</file>

<file path=xl/calcChain.xml><?xml version="1.0" encoding="utf-8"?>
<calcChain xmlns="http://schemas.openxmlformats.org/spreadsheetml/2006/main">
  <c r="J173" i="4"/>
  <c r="J110"/>
  <c r="J118"/>
  <c r="J144"/>
  <c r="J141"/>
  <c r="J140"/>
  <c r="J16"/>
  <c r="J190" l="1"/>
  <c r="J225" l="1"/>
  <c r="J224"/>
  <c r="J103" l="1"/>
  <c r="J100"/>
  <c r="J111" l="1"/>
  <c r="J97"/>
  <c r="J96"/>
  <c r="J94"/>
  <c r="J95"/>
  <c r="J10" l="1"/>
  <c r="J128"/>
  <c r="J32"/>
  <c r="J30"/>
  <c r="J31"/>
  <c r="J29"/>
  <c r="J117"/>
  <c r="J119"/>
  <c r="J116"/>
  <c r="J114"/>
  <c r="J113"/>
  <c r="J139"/>
  <c r="J135"/>
  <c r="J126"/>
  <c r="J124"/>
  <c r="J123"/>
  <c r="J109"/>
  <c r="J106"/>
  <c r="J91"/>
  <c r="J88"/>
  <c r="J78"/>
  <c r="J66"/>
  <c r="J59"/>
  <c r="J44"/>
  <c r="J38"/>
  <c r="J37"/>
  <c r="J34"/>
  <c r="J147"/>
  <c r="J108"/>
  <c r="J122"/>
  <c r="J121"/>
  <c r="J215"/>
  <c r="J214"/>
  <c r="J207"/>
  <c r="J203"/>
  <c r="J202"/>
  <c r="J201"/>
  <c r="J198"/>
  <c r="J182"/>
  <c r="J179"/>
  <c r="J168"/>
  <c r="J170"/>
  <c r="J174"/>
  <c r="J167"/>
  <c r="J152"/>
  <c r="J154"/>
  <c r="J149"/>
  <c r="J136"/>
  <c r="J75"/>
  <c r="J86"/>
  <c r="J84"/>
  <c r="J83"/>
  <c r="J80"/>
  <c r="J71"/>
  <c r="J69"/>
  <c r="J56"/>
  <c r="J55"/>
  <c r="J54"/>
  <c r="J47"/>
  <c r="J46"/>
  <c r="J41"/>
  <c r="J40"/>
  <c r="J15"/>
  <c r="J12"/>
  <c r="J49"/>
  <c r="J13" i="6"/>
  <c r="K13"/>
  <c r="L13"/>
  <c r="M13"/>
  <c r="N13"/>
  <c r="J15"/>
  <c r="K15"/>
  <c r="L15"/>
  <c r="M15"/>
  <c r="N15"/>
  <c r="J16"/>
  <c r="K16"/>
  <c r="L16"/>
  <c r="M16"/>
  <c r="N16"/>
  <c r="J18"/>
  <c r="K18"/>
  <c r="L18"/>
  <c r="M18"/>
  <c r="N18"/>
  <c r="J19"/>
  <c r="K19"/>
  <c r="L19"/>
  <c r="M19"/>
  <c r="N19"/>
  <c r="J28"/>
  <c r="K28"/>
  <c r="L28"/>
  <c r="M28"/>
  <c r="N28"/>
  <c r="J32"/>
  <c r="K32"/>
  <c r="L32"/>
  <c r="M32"/>
  <c r="N32"/>
  <c r="J33"/>
  <c r="K33"/>
  <c r="L33"/>
  <c r="M33"/>
  <c r="N33"/>
  <c r="J34"/>
  <c r="K34"/>
  <c r="L34"/>
  <c r="M34"/>
  <c r="N34"/>
  <c r="J35"/>
  <c r="K35"/>
  <c r="L35"/>
  <c r="M35"/>
  <c r="N35"/>
  <c r="J36"/>
  <c r="K36"/>
  <c r="L36"/>
  <c r="M36"/>
  <c r="N36"/>
  <c r="J38"/>
  <c r="K38"/>
  <c r="L38"/>
  <c r="M38"/>
  <c r="N38"/>
  <c r="J39"/>
  <c r="K39"/>
  <c r="L39"/>
  <c r="M39"/>
  <c r="N39"/>
  <c r="J40"/>
  <c r="K40"/>
  <c r="L40"/>
  <c r="M40"/>
  <c r="N40"/>
  <c r="J42"/>
  <c r="K42"/>
  <c r="L42"/>
  <c r="M42"/>
  <c r="N42"/>
  <c r="J43"/>
  <c r="K43"/>
  <c r="L43"/>
  <c r="M43"/>
  <c r="N43"/>
  <c r="J44"/>
  <c r="K44"/>
  <c r="L44"/>
  <c r="M44"/>
  <c r="N44"/>
  <c r="J45"/>
  <c r="K45"/>
  <c r="L45"/>
  <c r="M45"/>
  <c r="N45"/>
  <c r="J46"/>
  <c r="K46"/>
  <c r="L46"/>
  <c r="M46"/>
  <c r="N46"/>
  <c r="J47"/>
  <c r="K47"/>
  <c r="L47"/>
  <c r="M47"/>
  <c r="N47"/>
  <c r="J49"/>
  <c r="K49"/>
  <c r="L49"/>
  <c r="M49"/>
  <c r="N49"/>
  <c r="J50"/>
  <c r="K50"/>
  <c r="L50"/>
  <c r="M50"/>
  <c r="N50"/>
  <c r="J52"/>
  <c r="K52"/>
  <c r="L52"/>
  <c r="M52"/>
  <c r="N52"/>
  <c r="J53"/>
  <c r="K53"/>
  <c r="L53"/>
  <c r="M53"/>
  <c r="N53"/>
  <c r="J54"/>
  <c r="K54"/>
  <c r="L54"/>
  <c r="M54"/>
  <c r="N54"/>
  <c r="J55"/>
  <c r="K55"/>
  <c r="L55"/>
  <c r="M55"/>
  <c r="N55"/>
  <c r="J56"/>
  <c r="K56"/>
  <c r="L56"/>
  <c r="M56"/>
  <c r="N56"/>
  <c r="J57"/>
  <c r="K57"/>
  <c r="L57"/>
  <c r="M57"/>
  <c r="N57"/>
  <c r="J58"/>
  <c r="K58"/>
  <c r="L58"/>
  <c r="M58"/>
  <c r="N58"/>
  <c r="J59"/>
  <c r="K59"/>
  <c r="L59"/>
  <c r="M59"/>
  <c r="N59"/>
  <c r="J60"/>
  <c r="K60"/>
  <c r="L60"/>
  <c r="M60"/>
  <c r="N60"/>
  <c r="J61"/>
  <c r="K61"/>
  <c r="L61"/>
  <c r="N61"/>
  <c r="J62"/>
  <c r="K62"/>
  <c r="L62"/>
  <c r="N62"/>
  <c r="J64"/>
  <c r="K64"/>
  <c r="L64"/>
  <c r="M64"/>
  <c r="N64"/>
  <c r="J66"/>
  <c r="K66"/>
  <c r="L66"/>
  <c r="M66"/>
  <c r="N66"/>
  <c r="J67"/>
  <c r="K67"/>
  <c r="L67"/>
  <c r="M67"/>
  <c r="N67"/>
  <c r="J68"/>
  <c r="K68"/>
  <c r="L68"/>
  <c r="M68"/>
  <c r="N68"/>
  <c r="J69"/>
  <c r="K69"/>
  <c r="L69"/>
  <c r="M69"/>
  <c r="N69"/>
  <c r="J70"/>
  <c r="K70"/>
  <c r="L70"/>
  <c r="M70"/>
  <c r="N70"/>
  <c r="J71"/>
  <c r="K71"/>
  <c r="L71"/>
  <c r="M71"/>
  <c r="N71"/>
  <c r="J72"/>
  <c r="K72"/>
  <c r="L72"/>
  <c r="M72"/>
  <c r="N72"/>
  <c r="J73"/>
  <c r="K73"/>
  <c r="L73"/>
  <c r="M73"/>
  <c r="N73"/>
  <c r="J74"/>
  <c r="K74"/>
  <c r="L74"/>
  <c r="M74"/>
  <c r="N74"/>
  <c r="J75"/>
  <c r="K75"/>
  <c r="L75"/>
  <c r="M75"/>
  <c r="N75"/>
  <c r="J76"/>
  <c r="K76"/>
  <c r="L76"/>
  <c r="M76"/>
  <c r="N76"/>
  <c r="J77"/>
  <c r="K77"/>
  <c r="L77"/>
  <c r="M77"/>
  <c r="N77"/>
  <c r="J78"/>
  <c r="K78"/>
  <c r="L78"/>
  <c r="M78"/>
  <c r="N78"/>
  <c r="J79"/>
  <c r="K79"/>
  <c r="L79"/>
  <c r="M79"/>
  <c r="N79"/>
  <c r="J80"/>
  <c r="K80"/>
  <c r="L80"/>
  <c r="M80"/>
  <c r="N80"/>
  <c r="J81"/>
  <c r="K81"/>
  <c r="L81"/>
  <c r="M81"/>
  <c r="N81"/>
  <c r="J82"/>
  <c r="K82"/>
  <c r="L82"/>
  <c r="M82"/>
  <c r="N82"/>
  <c r="J83"/>
  <c r="K83"/>
  <c r="L83"/>
  <c r="M83"/>
  <c r="N83"/>
  <c r="J84"/>
  <c r="K84"/>
  <c r="L84"/>
  <c r="M84"/>
  <c r="N84"/>
  <c r="J85"/>
  <c r="K85"/>
  <c r="L85"/>
  <c r="M85"/>
  <c r="N85"/>
  <c r="J86"/>
  <c r="K86"/>
  <c r="L86"/>
  <c r="M86"/>
  <c r="N86"/>
  <c r="J87"/>
  <c r="K87"/>
  <c r="L87"/>
  <c r="M87"/>
  <c r="N87"/>
  <c r="J88"/>
  <c r="K88"/>
  <c r="L88"/>
  <c r="M88"/>
  <c r="N88"/>
  <c r="J89"/>
  <c r="K89"/>
  <c r="L89"/>
  <c r="M89"/>
  <c r="N89"/>
  <c r="J90"/>
  <c r="K90"/>
  <c r="L90"/>
  <c r="M90"/>
  <c r="N90"/>
  <c r="J91"/>
  <c r="K91"/>
  <c r="L91"/>
  <c r="M91"/>
  <c r="N91"/>
  <c r="J92"/>
  <c r="K92"/>
  <c r="L92"/>
  <c r="M92"/>
  <c r="N92"/>
  <c r="J93"/>
  <c r="K93"/>
  <c r="L93"/>
  <c r="M93"/>
  <c r="N93"/>
  <c r="J94"/>
  <c r="K94"/>
  <c r="L94"/>
  <c r="M94"/>
  <c r="N94"/>
  <c r="J95"/>
  <c r="K95"/>
  <c r="L95"/>
  <c r="M95"/>
  <c r="N95"/>
  <c r="J96"/>
  <c r="K96"/>
  <c r="L96"/>
  <c r="M96"/>
  <c r="N96"/>
  <c r="J97"/>
  <c r="K97"/>
  <c r="L97"/>
  <c r="M97"/>
  <c r="N97"/>
  <c r="J98"/>
  <c r="K98"/>
  <c r="L98"/>
  <c r="M98"/>
  <c r="N98"/>
  <c r="J99"/>
  <c r="K99"/>
  <c r="L99"/>
  <c r="M99"/>
  <c r="N99"/>
  <c r="J101"/>
  <c r="K101"/>
  <c r="L101"/>
  <c r="M101"/>
  <c r="N101"/>
  <c r="J102"/>
  <c r="K102"/>
  <c r="L102"/>
  <c r="M102"/>
  <c r="N102"/>
  <c r="J103"/>
  <c r="K103"/>
  <c r="L103"/>
  <c r="M103"/>
  <c r="N103"/>
  <c r="J104"/>
  <c r="K104"/>
  <c r="L104"/>
  <c r="M104"/>
  <c r="N104"/>
  <c r="J106"/>
  <c r="K106"/>
  <c r="L106"/>
  <c r="M106"/>
  <c r="N106"/>
  <c r="J107"/>
  <c r="K107"/>
  <c r="L107"/>
  <c r="M107"/>
  <c r="N107"/>
  <c r="J109"/>
  <c r="K109"/>
  <c r="L109"/>
  <c r="M109"/>
  <c r="N109"/>
  <c r="J110"/>
  <c r="K110"/>
  <c r="L110"/>
  <c r="M110"/>
  <c r="N110"/>
  <c r="J111"/>
  <c r="K111"/>
  <c r="L111"/>
  <c r="M111"/>
  <c r="N111"/>
  <c r="J113"/>
  <c r="K113"/>
  <c r="L113"/>
  <c r="M113"/>
  <c r="N113"/>
  <c r="J114"/>
  <c r="K114"/>
  <c r="L114"/>
  <c r="M114"/>
  <c r="N114"/>
  <c r="J115"/>
  <c r="K115"/>
  <c r="L115"/>
  <c r="M115"/>
  <c r="N115"/>
  <c r="J116"/>
  <c r="K116"/>
  <c r="L116"/>
  <c r="M116"/>
  <c r="N116"/>
  <c r="J117"/>
  <c r="K117"/>
  <c r="L117"/>
  <c r="M117"/>
  <c r="N117"/>
  <c r="J118"/>
  <c r="K118"/>
  <c r="L118"/>
  <c r="M118"/>
  <c r="N118"/>
  <c r="J119"/>
  <c r="K119"/>
  <c r="L119"/>
  <c r="M119"/>
  <c r="N119"/>
  <c r="J120"/>
  <c r="K120"/>
  <c r="L120"/>
  <c r="M120"/>
  <c r="N120"/>
  <c r="J121"/>
  <c r="K121"/>
  <c r="L121"/>
  <c r="M121"/>
  <c r="N121"/>
  <c r="J122"/>
  <c r="K122"/>
  <c r="L122"/>
  <c r="M122"/>
  <c r="N122"/>
  <c r="J123"/>
  <c r="K123"/>
  <c r="L123"/>
  <c r="M123"/>
  <c r="N123"/>
  <c r="J124"/>
  <c r="K124"/>
  <c r="L124"/>
  <c r="M124"/>
  <c r="N124"/>
  <c r="J125"/>
  <c r="K125"/>
  <c r="L125"/>
  <c r="M125"/>
  <c r="N125"/>
  <c r="J126"/>
  <c r="K126"/>
  <c r="L126"/>
  <c r="M126"/>
  <c r="N126"/>
  <c r="J128"/>
  <c r="K128"/>
  <c r="L128"/>
  <c r="M128"/>
  <c r="N128"/>
  <c r="J129"/>
  <c r="K129"/>
  <c r="L129"/>
  <c r="M129"/>
  <c r="N129"/>
  <c r="J130"/>
  <c r="K130"/>
  <c r="L130"/>
  <c r="M130"/>
  <c r="N130"/>
  <c r="J131"/>
  <c r="K131"/>
  <c r="L131"/>
  <c r="M131"/>
  <c r="N131"/>
  <c r="J132"/>
  <c r="K132"/>
  <c r="L132"/>
  <c r="M132"/>
  <c r="N132"/>
  <c r="J133"/>
  <c r="K133"/>
  <c r="L133"/>
  <c r="M133"/>
  <c r="N133"/>
  <c r="J134"/>
  <c r="K134"/>
  <c r="L134"/>
  <c r="M134"/>
  <c r="N134"/>
  <c r="J135"/>
  <c r="K135"/>
  <c r="L135"/>
  <c r="M135"/>
  <c r="N135"/>
  <c r="J136"/>
  <c r="K136"/>
  <c r="L136"/>
  <c r="M136"/>
  <c r="N136"/>
  <c r="J137"/>
  <c r="K137"/>
  <c r="L137"/>
  <c r="M137"/>
  <c r="N137"/>
  <c r="J138"/>
  <c r="K138"/>
  <c r="L138"/>
  <c r="M138"/>
  <c r="N138"/>
  <c r="J139"/>
  <c r="K139"/>
  <c r="L139"/>
  <c r="M139"/>
  <c r="N139"/>
  <c r="J140"/>
  <c r="K140"/>
  <c r="L140"/>
  <c r="M140"/>
  <c r="N140"/>
  <c r="J142"/>
  <c r="K142"/>
  <c r="L142"/>
  <c r="M142"/>
  <c r="N142"/>
  <c r="J147"/>
  <c r="K147"/>
  <c r="L147"/>
  <c r="M147"/>
  <c r="N147"/>
  <c r="J149"/>
  <c r="K149"/>
  <c r="L149"/>
  <c r="M149"/>
  <c r="N149"/>
  <c r="J150"/>
  <c r="K150"/>
  <c r="L150"/>
  <c r="M150"/>
  <c r="N150"/>
  <c r="J151"/>
  <c r="K151"/>
  <c r="L151"/>
  <c r="M151"/>
  <c r="N151"/>
  <c r="J152"/>
  <c r="K152"/>
  <c r="L152"/>
  <c r="M152"/>
  <c r="N152"/>
  <c r="J153"/>
  <c r="K153"/>
  <c r="L153"/>
  <c r="M153"/>
  <c r="N153"/>
  <c r="J154"/>
  <c r="K154"/>
  <c r="L154"/>
  <c r="M154"/>
  <c r="N154"/>
  <c r="J155"/>
  <c r="K155"/>
  <c r="L155"/>
  <c r="M155"/>
  <c r="N155"/>
  <c r="J156"/>
  <c r="K156"/>
  <c r="L156"/>
  <c r="M156"/>
  <c r="N156"/>
  <c r="J157"/>
  <c r="K157"/>
  <c r="L157"/>
  <c r="M157"/>
  <c r="N157"/>
  <c r="J158"/>
  <c r="K158"/>
  <c r="L158"/>
  <c r="M158"/>
  <c r="N158"/>
  <c r="J160"/>
  <c r="K160"/>
  <c r="L160"/>
  <c r="M160"/>
  <c r="N160"/>
  <c r="J161"/>
  <c r="K161"/>
  <c r="L161"/>
  <c r="M161"/>
  <c r="N161"/>
  <c r="J162"/>
  <c r="K162"/>
  <c r="L162"/>
  <c r="M162"/>
  <c r="N162"/>
  <c r="J163"/>
  <c r="K163"/>
  <c r="L163"/>
  <c r="M163"/>
  <c r="N163"/>
  <c r="J164"/>
  <c r="K164"/>
  <c r="L164"/>
  <c r="M164"/>
  <c r="N164"/>
  <c r="J165"/>
  <c r="K165"/>
  <c r="L165"/>
  <c r="M165"/>
  <c r="N165"/>
  <c r="J167"/>
  <c r="K167"/>
  <c r="L167"/>
  <c r="M167"/>
  <c r="N167"/>
  <c r="J168"/>
  <c r="K168"/>
  <c r="L168"/>
  <c r="M168"/>
  <c r="N168"/>
  <c r="J169"/>
  <c r="K169"/>
  <c r="L169"/>
  <c r="M169"/>
  <c r="N169"/>
  <c r="J170"/>
  <c r="K170"/>
  <c r="L170"/>
  <c r="M170"/>
  <c r="N170"/>
  <c r="J175"/>
  <c r="K175"/>
  <c r="L175"/>
  <c r="M175"/>
  <c r="N175"/>
  <c r="J176"/>
  <c r="K176"/>
  <c r="L176"/>
  <c r="M176"/>
  <c r="N176"/>
  <c r="J178"/>
  <c r="K178"/>
  <c r="L178"/>
  <c r="M178"/>
  <c r="N178"/>
  <c r="J180"/>
  <c r="K180"/>
  <c r="L180"/>
  <c r="M180"/>
  <c r="N180"/>
  <c r="J181"/>
  <c r="K181"/>
  <c r="L181"/>
  <c r="M181"/>
  <c r="N181"/>
  <c r="J182"/>
  <c r="K182"/>
  <c r="L182"/>
  <c r="M182"/>
  <c r="N182"/>
  <c r="J183"/>
  <c r="K183"/>
  <c r="L183"/>
  <c r="M183"/>
  <c r="N183"/>
  <c r="J184"/>
  <c r="K184"/>
  <c r="L184"/>
  <c r="M184"/>
  <c r="N184"/>
  <c r="J185"/>
  <c r="K185"/>
  <c r="L185"/>
  <c r="M185"/>
  <c r="N185"/>
  <c r="J186"/>
  <c r="K186"/>
  <c r="L186"/>
  <c r="M186"/>
  <c r="N186"/>
  <c r="J187"/>
  <c r="K187"/>
  <c r="L187"/>
  <c r="M187"/>
  <c r="N187"/>
  <c r="J188"/>
  <c r="K188"/>
  <c r="L188"/>
  <c r="M188"/>
  <c r="N188"/>
  <c r="J189"/>
  <c r="K189"/>
  <c r="L189"/>
  <c r="M189"/>
  <c r="N189"/>
  <c r="J190"/>
  <c r="K190"/>
  <c r="L190"/>
  <c r="M190"/>
  <c r="N190"/>
  <c r="J191"/>
  <c r="K191"/>
  <c r="L191"/>
  <c r="M191"/>
  <c r="N191"/>
  <c r="J193"/>
  <c r="K193"/>
  <c r="L193"/>
  <c r="M193"/>
  <c r="N193"/>
  <c r="J194"/>
  <c r="K194"/>
  <c r="L194"/>
  <c r="M194"/>
  <c r="N194"/>
  <c r="J197"/>
  <c r="K197"/>
  <c r="L197"/>
  <c r="M197"/>
  <c r="N197"/>
  <c r="J198"/>
  <c r="K198"/>
  <c r="L198"/>
  <c r="M198"/>
  <c r="N198"/>
  <c r="J199"/>
  <c r="K199"/>
  <c r="L199"/>
  <c r="M199"/>
  <c r="N199"/>
  <c r="J200"/>
  <c r="K200"/>
  <c r="L200"/>
  <c r="M200"/>
  <c r="N200"/>
  <c r="J201"/>
  <c r="K201"/>
  <c r="L201"/>
  <c r="M201"/>
  <c r="N201"/>
  <c r="J204"/>
  <c r="K204"/>
  <c r="L204"/>
  <c r="M204"/>
  <c r="N204"/>
  <c r="L207"/>
  <c r="M207"/>
  <c r="N207"/>
  <c r="L208"/>
  <c r="N208"/>
  <c r="S10" i="4"/>
  <c r="S12"/>
  <c r="S13"/>
  <c r="S15"/>
  <c r="S24"/>
  <c r="S25"/>
  <c r="S35"/>
  <c r="S40"/>
  <c r="S41"/>
  <c r="S44"/>
  <c r="S46"/>
  <c r="S47"/>
  <c r="S48"/>
  <c r="S49"/>
  <c r="S51"/>
  <c r="S54"/>
  <c r="S55"/>
  <c r="S56"/>
  <c r="S66"/>
  <c r="S68"/>
  <c r="S69"/>
  <c r="S70"/>
  <c r="S71"/>
  <c r="S72"/>
  <c r="S73"/>
  <c r="S74"/>
  <c r="S75"/>
  <c r="S105"/>
  <c r="S106"/>
  <c r="S107"/>
  <c r="S109"/>
  <c r="S113"/>
  <c r="S126"/>
  <c r="S127"/>
  <c r="S128"/>
  <c r="S130"/>
  <c r="S131"/>
  <c r="S132"/>
  <c r="S133"/>
  <c r="S134"/>
  <c r="S135"/>
  <c r="S136"/>
  <c r="J137"/>
  <c r="S137"/>
  <c r="S138"/>
  <c r="S139"/>
  <c r="S142"/>
  <c r="S143"/>
  <c r="J146"/>
  <c r="S146"/>
  <c r="S149"/>
  <c r="S155"/>
  <c r="S159"/>
  <c r="S164"/>
  <c r="J166"/>
  <c r="S166"/>
  <c r="S167"/>
  <c r="S168"/>
  <c r="S185"/>
  <c r="S186"/>
  <c r="J187"/>
  <c r="J188"/>
  <c r="S195"/>
  <c r="S197"/>
  <c r="S198"/>
  <c r="S199"/>
  <c r="S200"/>
  <c r="S201"/>
  <c r="S202"/>
  <c r="J204"/>
  <c r="J208"/>
  <c r="S210"/>
  <c r="S211"/>
  <c r="S214"/>
  <c r="S218"/>
  <c r="J221"/>
  <c r="S221"/>
  <c r="S224"/>
  <c r="S225"/>
  <c r="J169"/>
  <c r="J153"/>
  <c r="J93"/>
  <c r="J217"/>
  <c r="J200"/>
  <c r="J199"/>
  <c r="J186"/>
  <c r="J73"/>
  <c r="J131"/>
  <c r="J210"/>
  <c r="J178"/>
  <c r="J150"/>
  <c r="J130"/>
  <c r="J155"/>
  <c r="J62"/>
  <c r="J79"/>
  <c r="J159"/>
  <c r="J58"/>
  <c r="J25"/>
  <c r="J42"/>
  <c r="J157"/>
  <c r="J52"/>
  <c r="J61"/>
  <c r="J171"/>
  <c r="J127"/>
  <c r="J172"/>
  <c r="J92"/>
  <c r="J99"/>
  <c r="J180"/>
  <c r="J68"/>
  <c r="J63"/>
  <c r="J133"/>
  <c r="J57"/>
  <c r="J36"/>
  <c r="J72"/>
  <c r="J205"/>
  <c r="J101"/>
  <c r="J218"/>
  <c r="J151"/>
  <c r="J181"/>
  <c r="J195"/>
  <c r="J211"/>
  <c r="J13"/>
  <c r="J183"/>
  <c r="J81"/>
  <c r="J143"/>
  <c r="J176"/>
  <c r="J35"/>
  <c r="J185"/>
  <c r="J70"/>
  <c r="J76"/>
  <c r="J45"/>
  <c r="J175"/>
  <c r="J82"/>
  <c r="J197"/>
  <c r="J164"/>
  <c r="J132"/>
  <c r="J98"/>
  <c r="J156"/>
  <c r="J206"/>
  <c r="J216"/>
  <c r="J87"/>
  <c r="J148"/>
  <c r="J60"/>
  <c r="J142"/>
  <c r="J138"/>
  <c r="J134"/>
  <c r="J129"/>
  <c r="J107"/>
  <c r="J105"/>
  <c r="J90"/>
  <c r="J89"/>
  <c r="J85"/>
  <c r="J77"/>
  <c r="J74"/>
  <c r="J64"/>
  <c r="J51"/>
  <c r="J48"/>
</calcChain>
</file>

<file path=xl/sharedStrings.xml><?xml version="1.0" encoding="utf-8"?>
<sst xmlns="http://schemas.openxmlformats.org/spreadsheetml/2006/main" count="759" uniqueCount="216">
  <si>
    <t>№</t>
  </si>
  <si>
    <t>Дорожные элементы</t>
  </si>
  <si>
    <t>Волна</t>
  </si>
  <si>
    <t>Сан Тропе</t>
  </si>
  <si>
    <t>Старый город "Ландхаус"</t>
  </si>
  <si>
    <t>Цветовая палитра</t>
  </si>
  <si>
    <t>Серый</t>
  </si>
  <si>
    <t>Размер,
 мм</t>
  </si>
  <si>
    <t>Вес поддона, 
кг</t>
  </si>
  <si>
    <t>Дорожные плиты</t>
  </si>
  <si>
    <t>Старый город</t>
  </si>
  <si>
    <t xml:space="preserve"> -</t>
  </si>
  <si>
    <t>Красный</t>
  </si>
  <si>
    <t>Желтый</t>
  </si>
  <si>
    <t>Белый</t>
  </si>
  <si>
    <t>Оранжевый</t>
  </si>
  <si>
    <t>Высота,
мм</t>
  </si>
  <si>
    <t>240х135</t>
  </si>
  <si>
    <t>400х600</t>
  </si>
  <si>
    <t>1000х500</t>
  </si>
  <si>
    <t>240х120</t>
  </si>
  <si>
    <t>80х160
160х160
240х160</t>
  </si>
  <si>
    <t>1000х1000</t>
  </si>
  <si>
    <t>Ривьера</t>
  </si>
  <si>
    <t>133х132
166,25х132
232,75х132
266х132</t>
  </si>
  <si>
    <t>Норма загрузки авто
г/п 20т, под</t>
  </si>
  <si>
    <t>1200х1000</t>
  </si>
  <si>
    <t>Голливуд</t>
  </si>
  <si>
    <t>Циркон</t>
  </si>
  <si>
    <t>Бордюр тротуарный БР100.20.8</t>
  </si>
  <si>
    <t>Бордюр дорожный БР100.30.15</t>
  </si>
  <si>
    <t>Лоток Б1.18.50</t>
  </si>
  <si>
    <r>
      <t>Кол-во на поддоне, м</t>
    </r>
    <r>
      <rPr>
        <b/>
        <vertAlign val="superscript"/>
        <sz val="11"/>
        <color indexed="8"/>
        <rFont val="Calibri"/>
        <family val="2"/>
        <charset val="204"/>
      </rPr>
      <t>2</t>
    </r>
  </si>
  <si>
    <r>
      <t>Розничная цена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</si>
  <si>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Прямоугольник</t>
  </si>
  <si>
    <t>Газонная решетка ("Меба")</t>
  </si>
  <si>
    <t>"Грин Галет"</t>
  </si>
  <si>
    <t>200х200</t>
  </si>
  <si>
    <t>Коричневый</t>
  </si>
  <si>
    <t>100х100</t>
  </si>
  <si>
    <t>200х50</t>
  </si>
  <si>
    <t>283х200</t>
  </si>
  <si>
    <t>200х100</t>
  </si>
  <si>
    <t>Лувр</t>
  </si>
  <si>
    <t>Песочный</t>
  </si>
  <si>
    <t>1000х150</t>
  </si>
  <si>
    <t>1000х80</t>
  </si>
  <si>
    <t>Грифельный</t>
  </si>
  <si>
    <t>Серебристый</t>
  </si>
  <si>
    <t>Янтарный</t>
  </si>
  <si>
    <t>Винный</t>
  </si>
  <si>
    <t>Медовый</t>
  </si>
  <si>
    <t>Коралловый</t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</si>
  <si>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</si>
  <si>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без НДС, руб</t>
    </r>
    <r>
      <rPr>
        <b/>
        <sz val="11"/>
        <color indexed="8"/>
        <rFont val="Calibri"/>
        <family val="2"/>
        <charset val="204"/>
      </rPr>
      <t>)</t>
    </r>
  </si>
  <si>
    <t>180/230</t>
  </si>
  <si>
    <r>
      <t>Стоп цена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</si>
  <si>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Старый город "Венусбергер"</t>
  </si>
  <si>
    <t>120х160
160х160
240х160</t>
  </si>
  <si>
    <t>400х400</t>
  </si>
  <si>
    <t>300х300
450х300
600х300</t>
  </si>
  <si>
    <t>Домино</t>
  </si>
  <si>
    <t>Мозаика</t>
  </si>
  <si>
    <t>Триада</t>
  </si>
  <si>
    <t>500х200</t>
  </si>
  <si>
    <t>Классико
57х115
115Х115
172х115</t>
  </si>
  <si>
    <t>Классико круговая
73х110х115</t>
  </si>
  <si>
    <t>200х100
200х200
300х200</t>
  </si>
  <si>
    <t>Color Mix
"Каштан"</t>
  </si>
  <si>
    <t>Color Mix
 "Фламинго"</t>
  </si>
  <si>
    <t>Color Mix
Сафари</t>
  </si>
  <si>
    <t>Патио</t>
  </si>
  <si>
    <t>Стеновые материалы</t>
  </si>
  <si>
    <t>бетон</t>
  </si>
  <si>
    <t>390х90х188</t>
  </si>
  <si>
    <t>керамзито-бетон</t>
  </si>
  <si>
    <t>700-900</t>
  </si>
  <si>
    <t>Камень перегородочный пустотелый</t>
  </si>
  <si>
    <t>Топ 75</t>
  </si>
  <si>
    <t>Топ-75</t>
  </si>
  <si>
    <t>Классико, Классико круговая</t>
  </si>
  <si>
    <t>Тиара</t>
  </si>
  <si>
    <r>
      <t>Цена субдилера 1м</t>
    </r>
    <r>
      <rPr>
        <b/>
        <vertAlign val="superscript"/>
        <sz val="11"/>
        <color indexed="8"/>
        <rFont val="Calibri"/>
        <family val="2"/>
        <charset val="204"/>
      </rPr>
      <t xml:space="preserve">2
</t>
    </r>
    <r>
      <rPr>
        <b/>
        <sz val="11"/>
        <color indexed="8"/>
        <rFont val="Calibri"/>
        <family val="2"/>
        <charset val="204"/>
      </rPr>
      <t xml:space="preserve">( </t>
    </r>
    <r>
      <rPr>
        <b/>
        <sz val="11"/>
        <color indexed="10"/>
        <rFont val="Calibri"/>
        <family val="2"/>
        <charset val="204"/>
      </rPr>
      <t>с НДС, руб.</t>
    </r>
    <r>
      <rPr>
        <b/>
        <sz val="11"/>
        <color indexed="8"/>
        <rFont val="Calibri"/>
        <family val="2"/>
        <charset val="204"/>
      </rPr>
      <t>)</t>
    </r>
  </si>
  <si>
    <t>Color Mix
 "Каньон"</t>
  </si>
  <si>
    <t>Color Mix
 "Плато"</t>
  </si>
  <si>
    <t>Color Mix
"Туман"</t>
  </si>
  <si>
    <t>Color Mix
"Мальва"</t>
  </si>
  <si>
    <t>Color Mix
"Рассвет"</t>
  </si>
  <si>
    <t>Color Mix
 "Песчаник"</t>
  </si>
  <si>
    <t>Color Mix
"Сахара"</t>
  </si>
  <si>
    <t>Color Mix
"Плато"</t>
  </si>
  <si>
    <t>Color Mix
"Саванна"</t>
  </si>
  <si>
    <t>Color Mix
 "Прайд"</t>
  </si>
  <si>
    <t>Color Mix
"Прайд"</t>
  </si>
  <si>
    <t>Color Mix
"Мускат"</t>
  </si>
  <si>
    <t>Color Mix
"Эверест"</t>
  </si>
  <si>
    <t>Color Mix
"Степь"</t>
  </si>
  <si>
    <t>Color Mix
 "Рассвет"</t>
  </si>
  <si>
    <t>Color Mix
 "Закат"</t>
  </si>
  <si>
    <t>Color Mix
 "Вечер"</t>
  </si>
  <si>
    <t>Color Mix
 "Туман"</t>
  </si>
  <si>
    <t>Color Mix
 "Мальва"</t>
  </si>
  <si>
    <t>Color Mix
 "Койот"</t>
  </si>
  <si>
    <t>Color Mix
 "Техас"</t>
  </si>
  <si>
    <t xml:space="preserve">Мрамор
</t>
  </si>
  <si>
    <t>Гранит на белом</t>
  </si>
  <si>
    <t>Гранит на сером</t>
  </si>
  <si>
    <t>Color Mix
"Техас"</t>
  </si>
  <si>
    <t>Color Mix                "Рассвет"</t>
  </si>
  <si>
    <t>Color Mix
 "Каштан"</t>
  </si>
  <si>
    <t>Сити</t>
  </si>
  <si>
    <t>Color Mix
"Каньон"</t>
  </si>
  <si>
    <t>Color Mix
"Песчаник"</t>
  </si>
  <si>
    <t>Заказ *</t>
  </si>
  <si>
    <t>Розничная к Дистрибьютеру</t>
  </si>
  <si>
    <t>Стоп к розничной</t>
  </si>
  <si>
    <t>Субдилера к дистрибьютера</t>
  </si>
  <si>
    <t>Бордюр шарнирный БРШ 500*20*78</t>
  </si>
  <si>
    <t>500*78</t>
  </si>
  <si>
    <t>Цена без НДС с учетом повышения цена</t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</si>
  <si>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до повышения цен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</si>
  <si>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Старый город "Веймар"</t>
  </si>
  <si>
    <t>128/93*160    145/110*160     163/128*160</t>
  </si>
  <si>
    <t>Color Mix
Тип 3 / "Мальва"</t>
  </si>
  <si>
    <t>Color Mix
Тип 17 / "Прайд"</t>
  </si>
  <si>
    <t>Color Mix
Тип 7 / "Туман"</t>
  </si>
  <si>
    <t>280х120     
360х120  
 480х120     
 480х160       
 640х160</t>
  </si>
  <si>
    <t xml:space="preserve">630х420
420х420
210х420
210х210
</t>
  </si>
  <si>
    <t>500х500</t>
  </si>
  <si>
    <t xml:space="preserve">
100х160
160х160
260х160
</t>
  </si>
  <si>
    <t>Прайс-лист ТП от 01.04.2020</t>
  </si>
  <si>
    <t>Color Mix
"Ночь"</t>
  </si>
  <si>
    <t>Черный</t>
  </si>
  <si>
    <t>Color Mix
"Закат"</t>
  </si>
  <si>
    <t>Кол-во на поддоне, п.м</t>
  </si>
  <si>
    <t>Сити                    300х150</t>
  </si>
  <si>
    <t xml:space="preserve">Сити                        300х300
</t>
  </si>
  <si>
    <t>Сити                       600х300</t>
  </si>
  <si>
    <t>Кол-во на поддоне, м2 / п.м</t>
  </si>
  <si>
    <t>Тротуарные плиты</t>
  </si>
  <si>
    <t>Бетонная продукция под заказ</t>
  </si>
  <si>
    <r>
      <rPr>
        <b/>
        <sz val="12"/>
        <color indexed="8"/>
        <rFont val="Calibri"/>
        <family val="2"/>
        <charset val="204"/>
      </rPr>
      <t>*Срок изготовления заказных позиций от 14 дней, за более подробной информацией обращайтесь к  менеджеру</t>
    </r>
  </si>
  <si>
    <t>Гранит белый</t>
  </si>
  <si>
    <t>Гранит серый</t>
  </si>
  <si>
    <t>ООО "ТД БРАЕР"</t>
  </si>
  <si>
    <t>td@braer.ru, www.braer.ru</t>
  </si>
  <si>
    <t>тел/факс: +7 (495) 645-71-20</t>
  </si>
  <si>
    <t>117186, г. Москва, ул. Нагорная, д. 18, к. 4</t>
  </si>
  <si>
    <r>
      <rPr>
        <b/>
        <sz val="16"/>
        <color indexed="8"/>
        <rFont val="Calibri"/>
        <family val="2"/>
        <charset val="204"/>
      </rPr>
      <t>*Срок изготовления заказных позиций от 14 дней, за более подробной информацией обращайтесь к  менеджеру</t>
    </r>
  </si>
  <si>
    <r>
      <t>Розничная цена 1 п.м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</si>
  <si>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r>
      <t>Цена дистрибьютора 1 п.м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</si>
  <si>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 xml:space="preserve">Сити
300х300
</t>
  </si>
  <si>
    <t>Сити
600х300</t>
  </si>
  <si>
    <t>280х120
360х120
480х120
480х160
640х160</t>
  </si>
  <si>
    <t>Color Mix
 "Степь"</t>
  </si>
  <si>
    <t>320*80</t>
  </si>
  <si>
    <t>115/172*115</t>
  </si>
  <si>
    <t xml:space="preserve">Сити
300х150
</t>
  </si>
  <si>
    <r>
      <rPr>
        <b/>
        <sz val="10"/>
        <color theme="1"/>
        <rFont val="Calibri"/>
        <family val="2"/>
        <charset val="204"/>
        <scheme val="minor"/>
      </rPr>
      <t>Классико / Классико круговая</t>
    </r>
    <r>
      <rPr>
        <sz val="11"/>
        <color theme="1"/>
        <rFont val="Calibri"/>
        <family val="2"/>
        <charset val="204"/>
        <scheme val="minor"/>
      </rPr>
      <t xml:space="preserve">
Винный</t>
    </r>
  </si>
  <si>
    <r>
      <rPr>
        <b/>
        <sz val="10"/>
        <color theme="1"/>
        <rFont val="Calibri"/>
        <family val="2"/>
        <charset val="204"/>
        <scheme val="minor"/>
      </rPr>
      <t>Классико / Классико круговая</t>
    </r>
    <r>
      <rPr>
        <sz val="11"/>
        <color theme="1"/>
        <rFont val="Calibri"/>
        <family val="2"/>
        <charset val="204"/>
        <scheme val="minor"/>
      </rPr>
      <t xml:space="preserve">
Коричневый</t>
    </r>
  </si>
  <si>
    <r>
      <rPr>
        <b/>
        <sz val="10"/>
        <color theme="1"/>
        <rFont val="Calibri"/>
        <family val="2"/>
        <charset val="204"/>
        <scheme val="minor"/>
      </rPr>
      <t>Классико / Классико круговая</t>
    </r>
    <r>
      <rPr>
        <sz val="11"/>
        <color theme="1"/>
        <rFont val="Calibri"/>
        <family val="2"/>
        <charset val="204"/>
        <scheme val="minor"/>
      </rPr>
      <t xml:space="preserve">
Color Mix
"Мальва"</t>
    </r>
  </si>
  <si>
    <r>
      <rPr>
        <b/>
        <sz val="11"/>
        <color theme="1"/>
        <rFont val="Calibri"/>
        <family val="2"/>
        <charset val="204"/>
        <scheme val="minor"/>
      </rPr>
      <t>Классико / Классико круговая</t>
    </r>
    <r>
      <rPr>
        <sz val="11"/>
        <color theme="1"/>
        <rFont val="Calibri"/>
        <family val="2"/>
        <charset val="204"/>
        <scheme val="minor"/>
      </rPr>
      <t xml:space="preserve">
Color Mix
"Туман"</t>
    </r>
  </si>
  <si>
    <r>
      <rPr>
        <b/>
        <sz val="10"/>
        <color theme="1"/>
        <rFont val="Calibri"/>
        <family val="2"/>
        <charset val="204"/>
        <scheme val="minor"/>
      </rPr>
      <t>Классико круговая</t>
    </r>
    <r>
      <rPr>
        <sz val="11"/>
        <color theme="1"/>
        <rFont val="Calibri"/>
        <family val="2"/>
        <charset val="204"/>
        <scheme val="minor"/>
      </rPr>
      <t xml:space="preserve">
Серый</t>
    </r>
  </si>
  <si>
    <r>
      <rPr>
        <b/>
        <sz val="10"/>
        <color theme="1"/>
        <rFont val="Calibri"/>
        <family val="2"/>
        <charset val="204"/>
        <scheme val="minor"/>
      </rPr>
      <t>Классико</t>
    </r>
    <r>
      <rPr>
        <sz val="11"/>
        <color theme="1"/>
        <rFont val="Calibri"/>
        <family val="2"/>
        <charset val="204"/>
        <scheme val="minor"/>
      </rPr>
      <t xml:space="preserve">
Белый</t>
    </r>
  </si>
  <si>
    <r>
      <rPr>
        <b/>
        <sz val="10"/>
        <color theme="1"/>
        <rFont val="Calibri"/>
        <family val="2"/>
        <charset val="204"/>
        <scheme val="minor"/>
      </rPr>
      <t>Классико / Классико кругова</t>
    </r>
    <r>
      <rPr>
        <sz val="10"/>
        <color theme="1"/>
        <rFont val="Calibri"/>
        <family val="2"/>
        <charset val="204"/>
        <scheme val="minor"/>
      </rPr>
      <t>я</t>
    </r>
    <r>
      <rPr>
        <sz val="11"/>
        <color theme="1"/>
        <rFont val="Calibri"/>
        <family val="2"/>
        <charset val="204"/>
        <scheme val="minor"/>
      </rPr>
      <t xml:space="preserve">
Песочный</t>
    </r>
  </si>
  <si>
    <r>
      <rPr>
        <b/>
        <sz val="10"/>
        <color theme="1"/>
        <rFont val="Calibri"/>
        <family val="2"/>
        <charset val="204"/>
        <scheme val="minor"/>
      </rPr>
      <t>Классико</t>
    </r>
    <r>
      <rPr>
        <sz val="11"/>
        <color theme="1"/>
        <rFont val="Calibri"/>
        <family val="2"/>
        <charset val="204"/>
        <scheme val="minor"/>
      </rPr>
      <t xml:space="preserve">
Медовый</t>
    </r>
  </si>
  <si>
    <t>Color Mix
"Миндаль"</t>
  </si>
  <si>
    <t>100х250</t>
  </si>
  <si>
    <t>Классико Круговая
73х110х115</t>
  </si>
  <si>
    <r>
      <rPr>
        <b/>
        <sz val="10"/>
        <color theme="1"/>
        <rFont val="Calibri"/>
        <family val="2"/>
        <charset val="204"/>
        <scheme val="minor"/>
      </rPr>
      <t>Классико</t>
    </r>
    <r>
      <rPr>
        <sz val="11"/>
        <color theme="1"/>
        <rFont val="Calibri"/>
        <family val="2"/>
        <charset val="204"/>
        <scheme val="minor"/>
      </rPr>
      <t xml:space="preserve">
Янтарный</t>
    </r>
  </si>
  <si>
    <r>
      <rPr>
        <b/>
        <sz val="10"/>
        <color theme="1"/>
        <rFont val="Calibri"/>
        <family val="2"/>
        <charset val="204"/>
        <scheme val="minor"/>
      </rPr>
      <t>Классико</t>
    </r>
    <r>
      <rPr>
        <sz val="11"/>
        <color theme="1"/>
        <rFont val="Calibri"/>
        <family val="2"/>
        <charset val="204"/>
        <scheme val="minor"/>
      </rPr>
      <t xml:space="preserve">
Грифельный</t>
    </r>
  </si>
  <si>
    <r>
      <rPr>
        <b/>
        <sz val="10"/>
        <color theme="1"/>
        <rFont val="Calibri"/>
        <family val="2"/>
        <charset val="204"/>
        <scheme val="minor"/>
      </rPr>
      <t>Классико</t>
    </r>
    <r>
      <rPr>
        <sz val="11"/>
        <color theme="1"/>
        <rFont val="Calibri"/>
        <family val="2"/>
        <charset val="204"/>
        <scheme val="minor"/>
      </rPr>
      <t xml:space="preserve">
Коралловый</t>
    </r>
  </si>
  <si>
    <r>
      <rPr>
        <b/>
        <sz val="10"/>
        <color theme="1"/>
        <rFont val="Calibri"/>
        <family val="2"/>
        <charset val="204"/>
        <scheme val="minor"/>
      </rPr>
      <t>Классико</t>
    </r>
    <r>
      <rPr>
        <sz val="11"/>
        <color theme="1"/>
        <rFont val="Calibri"/>
        <family val="2"/>
        <charset val="204"/>
        <scheme val="minor"/>
      </rPr>
      <t xml:space="preserve">
Серебристый</t>
    </r>
  </si>
  <si>
    <t>Color Mix
"Койот"</t>
  </si>
  <si>
    <t>Прайс-лист ТП 2024 от 17.06.2024</t>
  </si>
  <si>
    <t>ООО "АЛАН ГРУПП"</t>
  </si>
  <si>
    <t>г.Калуга, ул.Ленина 51, офис 112.</t>
  </si>
  <si>
    <t>тел: +7 (915) 897-99-60</t>
  </si>
  <si>
    <t>alan-grupp@yandex.ru; www.alan-grupp.ru</t>
  </si>
  <si>
    <r>
      <t>Цена с доставкой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</si>
  <si>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 xml:space="preserve">                            Ривьера</t>
  </si>
  <si>
    <t xml:space="preserve">                                                                 Классико, Классико круговая</t>
  </si>
  <si>
    <t xml:space="preserve">                               Сан Тропе</t>
  </si>
  <si>
    <t xml:space="preserve">                                       Классико Дуо</t>
  </si>
  <si>
    <t xml:space="preserve">                               Домино</t>
  </si>
  <si>
    <t xml:space="preserve">                             Мозаика</t>
  </si>
  <si>
    <t xml:space="preserve">                            Триада</t>
  </si>
  <si>
    <t xml:space="preserve">                         Патио</t>
  </si>
  <si>
    <t xml:space="preserve">                       Сити</t>
  </si>
  <si>
    <t xml:space="preserve">                                    "Грин Галет"</t>
  </si>
  <si>
    <t xml:space="preserve">                                                              Старый город "Ландхаус"</t>
  </si>
  <si>
    <t xml:space="preserve">                                                                    Старый город "Ландхаус" 2.0</t>
  </si>
  <si>
    <t xml:space="preserve">                                                                    Старый город "Венусбергер"</t>
  </si>
  <si>
    <t xml:space="preserve">                                                          Старый город "Веймар"</t>
  </si>
  <si>
    <t xml:space="preserve">                                Ригель 2.0</t>
  </si>
  <si>
    <t xml:space="preserve">                           Паркет</t>
  </si>
  <si>
    <t xml:space="preserve">                                          Прямоугольник</t>
  </si>
  <si>
    <t xml:space="preserve">                        Лувр</t>
  </si>
  <si>
    <t xml:space="preserve">                                                                  Газонная решетка ("Меба")</t>
  </si>
  <si>
    <t xml:space="preserve">                                                            Дорожные элементы</t>
  </si>
  <si>
    <t xml:space="preserve">                                                                           Бордюр дорожный БР100.30.15</t>
  </si>
  <si>
    <t xml:space="preserve">                                                                         Бордюр тротуарный БР100.20.8</t>
  </si>
  <si>
    <t xml:space="preserve">                                                                                   Бордюр шарнирный БРШ 500*20*78</t>
  </si>
  <si>
    <t xml:space="preserve">                                           Лоток садовый</t>
  </si>
  <si>
    <t xml:space="preserve">                                 Полисад</t>
  </si>
  <si>
    <t xml:space="preserve">                                                                  Бетонная продукция под заказ</t>
  </si>
  <si>
    <t xml:space="preserve">                                       Старый город</t>
  </si>
  <si>
    <t xml:space="preserve">                        Волна</t>
  </si>
  <si>
    <t xml:space="preserve">                        Тиара</t>
  </si>
  <si>
    <t xml:space="preserve">                                                   Дорожные плиты</t>
  </si>
  <si>
    <t xml:space="preserve">                                Голливуд</t>
  </si>
  <si>
    <t xml:space="preserve">                                                           Дорожные элементы</t>
  </si>
  <si>
    <t xml:space="preserve">                                                              Стеновые материалы</t>
  </si>
  <si>
    <t xml:space="preserve">                                                                                     Камень перегородочный пустотелый</t>
  </si>
  <si>
    <t xml:space="preserve">                                         Лоток Б1.18.50</t>
  </si>
  <si>
    <t xml:space="preserve">                                                        Тротуарные плиты</t>
  </si>
</sst>
</file>

<file path=xl/styles.xml><?xml version="1.0" encoding="utf-8"?>
<styleSheet xmlns="http://schemas.openxmlformats.org/spreadsheetml/2006/main">
  <numFmts count="3">
    <numFmt numFmtId="164" formatCode="#,##0.00\ _₽"/>
    <numFmt numFmtId="165" formatCode="0.0000%"/>
    <numFmt numFmtId="166" formatCode="0.0000000%"/>
  </numFmts>
  <fonts count="26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vertAlign val="superscript"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color theme="1"/>
      <name val="Calisto MT"/>
      <family val="1"/>
    </font>
    <font>
      <sz val="14"/>
      <color theme="1"/>
      <name val="Calisto MT"/>
      <family val="1"/>
    </font>
    <font>
      <b/>
      <sz val="16"/>
      <color theme="1"/>
      <name val="Calisto MT"/>
      <family val="1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sto MT"/>
      <family val="1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21"/>
      <color rgb="FF000000"/>
      <name val="Segoe UI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EF7CE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A347"/>
        <bgColor indexed="64"/>
      </patternFill>
    </fill>
    <fill>
      <patternFill patternType="solid">
        <fgColor rgb="FFD86E76"/>
        <bgColor indexed="64"/>
      </patternFill>
    </fill>
    <fill>
      <patternFill patternType="solid">
        <fgColor rgb="FFFFDCB9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785612"/>
        <bgColor indexed="64"/>
      </patternFill>
    </fill>
    <fill>
      <patternFill patternType="solid">
        <fgColor rgb="FFDBC7AD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ADA7B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3E2204"/>
        <bgColor indexed="64"/>
      </patternFill>
    </fill>
  </fills>
  <borders count="9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9" fillId="2" borderId="0" applyNumberFormat="0" applyBorder="0" applyAlignment="0" applyProtection="0"/>
    <xf numFmtId="9" fontId="6" fillId="0" borderId="0" applyFont="0" applyFill="0" applyBorder="0" applyAlignment="0" applyProtection="0"/>
  </cellStyleXfs>
  <cellXfs count="892">
    <xf numFmtId="0" fontId="0" fillId="0" borderId="0" xfId="0"/>
    <xf numFmtId="3" fontId="8" fillId="3" borderId="1" xfId="0" applyNumberFormat="1" applyFont="1" applyFill="1" applyBorder="1" applyAlignment="1" applyProtection="1">
      <alignment horizontal="center" vertical="center"/>
      <protection hidden="1"/>
    </xf>
    <xf numFmtId="3" fontId="8" fillId="3" borderId="2" xfId="0" applyNumberFormat="1" applyFont="1" applyFill="1" applyBorder="1" applyAlignment="1" applyProtection="1">
      <alignment horizontal="center" vertical="center"/>
      <protection hidden="1"/>
    </xf>
    <xf numFmtId="3" fontId="8" fillId="4" borderId="2" xfId="0" applyNumberFormat="1" applyFont="1" applyFill="1" applyBorder="1" applyAlignment="1" applyProtection="1">
      <alignment horizontal="center" vertical="center"/>
      <protection hidden="1"/>
    </xf>
    <xf numFmtId="3" fontId="8" fillId="4" borderId="3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8" fillId="0" borderId="6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Protection="1">
      <protection hidden="1"/>
    </xf>
    <xf numFmtId="0" fontId="12" fillId="0" borderId="4" xfId="0" applyFont="1" applyFill="1" applyBorder="1" applyAlignment="1" applyProtection="1">
      <alignment vertical="center"/>
      <protection hidden="1"/>
    </xf>
    <xf numFmtId="10" fontId="6" fillId="0" borderId="0" xfId="2" applyNumberFormat="1" applyFont="1" applyProtection="1">
      <protection hidden="1"/>
    </xf>
    <xf numFmtId="166" fontId="6" fillId="0" borderId="0" xfId="2" applyNumberFormat="1" applyFont="1" applyProtection="1">
      <protection hidden="1"/>
    </xf>
    <xf numFmtId="165" fontId="6" fillId="0" borderId="0" xfId="2" applyNumberFormat="1" applyFont="1" applyProtection="1">
      <protection hidden="1"/>
    </xf>
    <xf numFmtId="1" fontId="8" fillId="4" borderId="5" xfId="0" applyNumberFormat="1" applyFont="1" applyFill="1" applyBorder="1" applyAlignment="1" applyProtection="1">
      <alignment horizontal="center" vertical="center"/>
      <protection hidden="1"/>
    </xf>
    <xf numFmtId="1" fontId="8" fillId="3" borderId="9" xfId="0" applyNumberFormat="1" applyFont="1" applyFill="1" applyBorder="1" applyAlignment="1" applyProtection="1">
      <alignment horizontal="center" vertical="center"/>
      <protection hidden="1"/>
    </xf>
    <xf numFmtId="0" fontId="8" fillId="5" borderId="4" xfId="0" applyFont="1" applyFill="1" applyBorder="1" applyAlignment="1" applyProtection="1">
      <alignment vertical="center"/>
      <protection hidden="1"/>
    </xf>
    <xf numFmtId="1" fontId="8" fillId="4" borderId="2" xfId="0" applyNumberFormat="1" applyFont="1" applyFill="1" applyBorder="1" applyAlignment="1" applyProtection="1">
      <alignment horizontal="center" vertical="center"/>
      <protection hidden="1"/>
    </xf>
    <xf numFmtId="0" fontId="13" fillId="4" borderId="12" xfId="0" applyFont="1" applyFill="1" applyBorder="1" applyAlignment="1" applyProtection="1">
      <alignment horizontal="center" vertical="center" wrapText="1"/>
      <protection hidden="1"/>
    </xf>
    <xf numFmtId="0" fontId="8" fillId="5" borderId="15" xfId="0" applyFont="1" applyFill="1" applyBorder="1" applyAlignment="1" applyProtection="1">
      <alignment vertical="center"/>
      <protection hidden="1"/>
    </xf>
    <xf numFmtId="1" fontId="8" fillId="3" borderId="1" xfId="0" applyNumberFormat="1" applyFont="1" applyFill="1" applyBorder="1" applyAlignment="1" applyProtection="1">
      <alignment horizontal="center" vertical="center"/>
      <protection hidden="1"/>
    </xf>
    <xf numFmtId="0" fontId="8" fillId="5" borderId="0" xfId="0" applyFont="1" applyFill="1" applyBorder="1" applyAlignment="1" applyProtection="1">
      <alignment vertical="center"/>
      <protection hidden="1"/>
    </xf>
    <xf numFmtId="3" fontId="0" fillId="3" borderId="17" xfId="0" applyNumberFormat="1" applyFill="1" applyBorder="1" applyAlignment="1" applyProtection="1">
      <alignment horizontal="center" vertical="center"/>
      <protection hidden="1"/>
    </xf>
    <xf numFmtId="164" fontId="13" fillId="4" borderId="2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0" xfId="0" applyNumberFormat="1" applyFill="1" applyBorder="1" applyAlignment="1" applyProtection="1">
      <alignment horizontal="center" vertical="center"/>
      <protection hidden="1"/>
    </xf>
    <xf numFmtId="3" fontId="0" fillId="3" borderId="11" xfId="0" applyNumberFormat="1" applyFill="1" applyBorder="1" applyAlignment="1" applyProtection="1">
      <alignment horizontal="center" vertical="center"/>
      <protection hidden="1"/>
    </xf>
    <xf numFmtId="164" fontId="0" fillId="4" borderId="18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3" xfId="0" applyNumberFormat="1" applyFill="1" applyBorder="1" applyAlignment="1" applyProtection="1">
      <alignment horizontal="center" vertical="center"/>
      <protection hidden="1"/>
    </xf>
    <xf numFmtId="3" fontId="0" fillId="3" borderId="14" xfId="0" applyNumberFormat="1" applyFill="1" applyBorder="1" applyAlignment="1" applyProtection="1">
      <alignment horizontal="center" vertical="center"/>
      <protection hidden="1"/>
    </xf>
    <xf numFmtId="164" fontId="0" fillId="4" borderId="19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19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/>
      <protection hidden="1"/>
    </xf>
    <xf numFmtId="3" fontId="8" fillId="4" borderId="21" xfId="0" applyNumberFormat="1" applyFont="1" applyFill="1" applyBorder="1" applyAlignment="1" applyProtection="1">
      <alignment horizontal="center" vertical="center"/>
      <protection hidden="1"/>
    </xf>
    <xf numFmtId="164" fontId="13" fillId="4" borderId="18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22" xfId="0" applyNumberFormat="1" applyFill="1" applyBorder="1" applyAlignment="1" applyProtection="1">
      <alignment horizontal="center" vertical="center"/>
      <protection hidden="1"/>
    </xf>
    <xf numFmtId="3" fontId="8" fillId="4" borderId="23" xfId="0" applyNumberFormat="1" applyFont="1" applyFill="1" applyBorder="1" applyAlignment="1" applyProtection="1">
      <alignment horizontal="center" vertical="center"/>
      <protection hidden="1"/>
    </xf>
    <xf numFmtId="3" fontId="0" fillId="3" borderId="24" xfId="0" applyNumberForma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vertical="center"/>
      <protection hidden="1"/>
    </xf>
    <xf numFmtId="0" fontId="13" fillId="4" borderId="5" xfId="0" applyFont="1" applyFill="1" applyBorder="1" applyAlignment="1" applyProtection="1">
      <alignment horizontal="center" vertical="center"/>
      <protection hidden="1"/>
    </xf>
    <xf numFmtId="1" fontId="8" fillId="4" borderId="1" xfId="0" applyNumberFormat="1" applyFont="1" applyFill="1" applyBorder="1" applyAlignment="1" applyProtection="1">
      <alignment horizontal="center" vertical="center"/>
      <protection hidden="1"/>
    </xf>
    <xf numFmtId="1" fontId="8" fillId="3" borderId="27" xfId="0" applyNumberFormat="1" applyFont="1" applyFill="1" applyBorder="1" applyAlignment="1" applyProtection="1">
      <alignment horizontal="center" vertical="center"/>
      <protection hidden="1"/>
    </xf>
    <xf numFmtId="1" fontId="8" fillId="3" borderId="12" xfId="0" applyNumberFormat="1" applyFont="1" applyFill="1" applyBorder="1" applyAlignment="1" applyProtection="1">
      <alignment horizontal="center" vertical="center"/>
      <protection hidden="1"/>
    </xf>
    <xf numFmtId="0" fontId="0" fillId="3" borderId="22" xfId="0" applyNumberFormat="1" applyFont="1" applyFill="1" applyBorder="1" applyAlignment="1" applyProtection="1">
      <alignment horizontal="center" vertical="center"/>
      <protection hidden="1"/>
    </xf>
    <xf numFmtId="1" fontId="8" fillId="3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28" xfId="0" applyNumberFormat="1" applyFont="1" applyFill="1" applyBorder="1" applyAlignment="1" applyProtection="1">
      <alignment horizontal="center" vertical="center"/>
      <protection hidden="1"/>
    </xf>
    <xf numFmtId="1" fontId="8" fillId="3" borderId="21" xfId="0" applyNumberFormat="1" applyFont="1" applyFill="1" applyBorder="1" applyAlignment="1" applyProtection="1">
      <alignment horizontal="center" vertical="center"/>
      <protection hidden="1"/>
    </xf>
    <xf numFmtId="1" fontId="8" fillId="4" borderId="21" xfId="0" applyNumberFormat="1" applyFont="1" applyFill="1" applyBorder="1" applyAlignment="1" applyProtection="1">
      <alignment horizontal="center" vertical="center"/>
      <protection hidden="1"/>
    </xf>
    <xf numFmtId="1" fontId="8" fillId="3" borderId="23" xfId="0" applyNumberFormat="1" applyFont="1" applyFill="1" applyBorder="1" applyAlignment="1" applyProtection="1">
      <alignment horizontal="center" vertical="center"/>
      <protection hidden="1"/>
    </xf>
    <xf numFmtId="1" fontId="8" fillId="3" borderId="0" xfId="0" applyNumberFormat="1" applyFont="1" applyFill="1" applyBorder="1" applyAlignment="1" applyProtection="1">
      <alignment horizontal="center" vertical="center"/>
      <protection hidden="1"/>
    </xf>
    <xf numFmtId="1" fontId="8" fillId="3" borderId="29" xfId="0" applyNumberFormat="1" applyFont="1" applyFill="1" applyBorder="1" applyAlignment="1" applyProtection="1">
      <alignment horizontal="center" vertical="center"/>
      <protection hidden="1"/>
    </xf>
    <xf numFmtId="1" fontId="8" fillId="3" borderId="5" xfId="0" applyNumberFormat="1" applyFont="1" applyFill="1" applyBorder="1" applyAlignment="1" applyProtection="1">
      <alignment horizontal="center" vertical="center"/>
      <protection hidden="1"/>
    </xf>
    <xf numFmtId="1" fontId="8" fillId="3" borderId="3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166" fontId="6" fillId="6" borderId="0" xfId="2" applyNumberFormat="1" applyFont="1" applyFill="1" applyProtection="1">
      <protection hidden="1"/>
    </xf>
    <xf numFmtId="0" fontId="8" fillId="0" borderId="30" xfId="0" applyFont="1" applyFill="1" applyBorder="1" applyAlignment="1" applyProtection="1">
      <alignment vertical="center"/>
      <protection hidden="1"/>
    </xf>
    <xf numFmtId="1" fontId="8" fillId="4" borderId="15" xfId="0" applyNumberFormat="1" applyFont="1" applyFill="1" applyBorder="1" applyAlignment="1" applyProtection="1">
      <alignment horizontal="center" vertical="center"/>
      <protection hidden="1"/>
    </xf>
    <xf numFmtId="0" fontId="8" fillId="5" borderId="30" xfId="0" applyFont="1" applyFill="1" applyBorder="1" applyAlignment="1" applyProtection="1">
      <protection hidden="1"/>
    </xf>
    <xf numFmtId="1" fontId="8" fillId="3" borderId="31" xfId="0" applyNumberFormat="1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wrapText="1"/>
      <protection hidden="1"/>
    </xf>
    <xf numFmtId="0" fontId="8" fillId="0" borderId="4" xfId="0" applyFont="1" applyFill="1" applyBorder="1" applyAlignment="1" applyProtection="1">
      <alignment vertical="center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10" fontId="6" fillId="6" borderId="0" xfId="2" applyNumberFormat="1" applyFont="1" applyFill="1" applyProtection="1"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0" fontId="8" fillId="4" borderId="3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vertical="center" wrapText="1"/>
      <protection hidden="1"/>
    </xf>
    <xf numFmtId="1" fontId="8" fillId="3" borderId="32" xfId="0" applyNumberFormat="1" applyFont="1" applyFill="1" applyBorder="1" applyAlignment="1" applyProtection="1">
      <alignment horizontal="center" vertical="center"/>
      <protection hidden="1"/>
    </xf>
    <xf numFmtId="1" fontId="8" fillId="3" borderId="18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4" fillId="0" borderId="0" xfId="0" applyFont="1" applyBorder="1" applyProtection="1"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" fontId="11" fillId="0" borderId="0" xfId="0" applyNumberFormat="1" applyFont="1" applyFill="1" applyAlignment="1" applyProtection="1">
      <alignment horizontal="center" vertical="center"/>
      <protection hidden="1"/>
    </xf>
    <xf numFmtId="1" fontId="6" fillId="0" borderId="0" xfId="2" applyNumberFormat="1" applyFont="1" applyAlignment="1" applyProtection="1">
      <alignment horizontal="center" vertical="center"/>
      <protection hidden="1"/>
    </xf>
    <xf numFmtId="3" fontId="8" fillId="3" borderId="27" xfId="0" applyNumberFormat="1" applyFont="1" applyFill="1" applyBorder="1" applyAlignment="1" applyProtection="1">
      <alignment horizontal="center" vertical="center"/>
      <protection hidden="1"/>
    </xf>
    <xf numFmtId="164" fontId="0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3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4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8" fillId="0" borderId="5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 wrapText="1"/>
      <protection hidden="1"/>
    </xf>
    <xf numFmtId="0" fontId="8" fillId="0" borderId="4" xfId="0" applyFont="1" applyBorder="1" applyAlignment="1" applyProtection="1">
      <alignment horizontal="center" vertical="center" wrapText="1"/>
      <protection hidden="1"/>
    </xf>
    <xf numFmtId="0" fontId="8" fillId="0" borderId="7" xfId="0" applyFont="1" applyBorder="1" applyAlignment="1" applyProtection="1">
      <alignment horizontal="center" vertical="center" wrapText="1"/>
      <protection hidden="1"/>
    </xf>
    <xf numFmtId="0" fontId="8" fillId="0" borderId="8" xfId="0" applyFont="1" applyBorder="1" applyAlignment="1" applyProtection="1">
      <alignment horizontal="center" vertical="center" wrapText="1"/>
      <protection hidden="1"/>
    </xf>
    <xf numFmtId="0" fontId="0" fillId="3" borderId="4" xfId="0" applyFont="1" applyFill="1" applyBorder="1" applyAlignment="1" applyProtection="1">
      <alignment horizontal="center" vertical="center" wrapText="1"/>
      <protection hidden="1"/>
    </xf>
    <xf numFmtId="0" fontId="0" fillId="4" borderId="7" xfId="0" applyFont="1" applyFill="1" applyBorder="1" applyAlignment="1" applyProtection="1">
      <alignment horizontal="center" vertical="center" wrapText="1"/>
      <protection hidden="1"/>
    </xf>
    <xf numFmtId="0" fontId="13" fillId="4" borderId="5" xfId="0" applyFont="1" applyFill="1" applyBorder="1" applyAlignment="1" applyProtection="1">
      <alignment horizontal="center" vertical="center" wrapText="1"/>
      <protection hidden="1"/>
    </xf>
    <xf numFmtId="0" fontId="0" fillId="3" borderId="8" xfId="0" applyFont="1" applyFill="1" applyBorder="1" applyAlignment="1" applyProtection="1">
      <alignment horizontal="center" vertical="center"/>
      <protection hidden="1"/>
    </xf>
    <xf numFmtId="3" fontId="8" fillId="4" borderId="7" xfId="0" applyNumberFormat="1" applyFont="1" applyFill="1" applyBorder="1" applyAlignment="1" applyProtection="1">
      <alignment horizontal="center" vertical="center"/>
      <protection hidden="1"/>
    </xf>
    <xf numFmtId="3" fontId="8" fillId="4" borderId="5" xfId="0" applyNumberFormat="1" applyFont="1" applyFill="1" applyBorder="1" applyAlignment="1" applyProtection="1">
      <alignment horizontal="center" vertical="center"/>
      <protection hidden="1"/>
    </xf>
    <xf numFmtId="4" fontId="8" fillId="4" borderId="8" xfId="0" applyNumberFormat="1" applyFont="1" applyFill="1" applyBorder="1" applyAlignment="1" applyProtection="1">
      <alignment horizontal="center" vertical="center"/>
      <protection hidden="1"/>
    </xf>
    <xf numFmtId="10" fontId="6" fillId="0" borderId="0" xfId="2" applyNumberFormat="1" applyFont="1" applyProtection="1">
      <protection hidden="1"/>
    </xf>
    <xf numFmtId="166" fontId="6" fillId="0" borderId="0" xfId="2" applyNumberFormat="1" applyFont="1" applyProtection="1">
      <protection hidden="1"/>
    </xf>
    <xf numFmtId="165" fontId="6" fillId="0" borderId="0" xfId="2" applyNumberFormat="1" applyFont="1" applyProtection="1">
      <protection hidden="1"/>
    </xf>
    <xf numFmtId="0" fontId="0" fillId="3" borderId="29" xfId="0" applyFont="1" applyFill="1" applyBorder="1" applyAlignment="1" applyProtection="1">
      <alignment horizontal="center" vertical="center" wrapText="1"/>
      <protection hidden="1"/>
    </xf>
    <xf numFmtId="0" fontId="0" fillId="3" borderId="30" xfId="0" applyFont="1" applyFill="1" applyBorder="1" applyAlignment="1" applyProtection="1">
      <alignment horizontal="center" vertical="center"/>
      <protection hidden="1"/>
    </xf>
    <xf numFmtId="3" fontId="8" fillId="4" borderId="33" xfId="0" applyNumberFormat="1" applyFont="1" applyFill="1" applyBorder="1" applyAlignment="1" applyProtection="1">
      <alignment horizontal="center" vertical="center"/>
      <protection hidden="1"/>
    </xf>
    <xf numFmtId="3" fontId="8" fillId="4" borderId="30" xfId="0" applyNumberFormat="1" applyFont="1" applyFill="1" applyBorder="1" applyAlignment="1" applyProtection="1">
      <alignment horizontal="center" vertical="center"/>
      <protection hidden="1"/>
    </xf>
    <xf numFmtId="4" fontId="8" fillId="4" borderId="34" xfId="0" applyNumberFormat="1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0" fontId="13" fillId="4" borderId="2" xfId="0" applyFont="1" applyFill="1" applyBorder="1" applyAlignment="1" applyProtection="1">
      <alignment horizontal="center" vertical="center"/>
      <protection hidden="1"/>
    </xf>
    <xf numFmtId="0" fontId="13" fillId="3" borderId="2" xfId="0" applyFont="1" applyFill="1" applyBorder="1" applyAlignment="1" applyProtection="1">
      <alignment horizontal="center" vertical="center"/>
      <protection hidden="1"/>
    </xf>
    <xf numFmtId="0" fontId="13" fillId="4" borderId="2" xfId="0" applyFont="1" applyFill="1" applyBorder="1" applyAlignment="1" applyProtection="1">
      <alignment horizontal="center" vertical="center" wrapText="1"/>
      <protection hidden="1"/>
    </xf>
    <xf numFmtId="0" fontId="13" fillId="3" borderId="3" xfId="0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0" fontId="0" fillId="3" borderId="16" xfId="0" applyFill="1" applyBorder="1" applyAlignment="1" applyProtection="1">
      <alignment horizontal="center" vertical="center"/>
      <protection hidden="1"/>
    </xf>
    <xf numFmtId="0" fontId="0" fillId="3" borderId="17" xfId="0" applyFill="1" applyBorder="1" applyAlignment="1" applyProtection="1">
      <alignment horizontal="center" vertical="center"/>
      <protection hidden="1"/>
    </xf>
    <xf numFmtId="0" fontId="0" fillId="3" borderId="10" xfId="0" applyFill="1" applyBorder="1" applyAlignment="1" applyProtection="1">
      <alignment horizontal="center" vertical="center"/>
      <protection hidden="1"/>
    </xf>
    <xf numFmtId="0" fontId="0" fillId="3" borderId="11" xfId="0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horizontal="center" vertical="center" wrapText="1"/>
      <protection hidden="1"/>
    </xf>
    <xf numFmtId="0" fontId="0" fillId="3" borderId="13" xfId="0" applyFill="1" applyBorder="1" applyAlignment="1" applyProtection="1">
      <alignment horizontal="center" vertical="center"/>
      <protection hidden="1"/>
    </xf>
    <xf numFmtId="0" fontId="0" fillId="3" borderId="14" xfId="0" applyFill="1" applyBorder="1" applyAlignment="1" applyProtection="1">
      <alignment horizontal="center" vertical="center"/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3" fontId="0" fillId="3" borderId="16" xfId="0" applyNumberFormat="1" applyFill="1" applyBorder="1" applyAlignment="1" applyProtection="1">
      <alignment horizontal="center" vertical="center"/>
      <protection hidden="1"/>
    </xf>
    <xf numFmtId="0" fontId="0" fillId="3" borderId="25" xfId="0" applyFont="1" applyFill="1" applyBorder="1" applyAlignment="1" applyProtection="1">
      <alignment horizontal="center" vertical="center"/>
      <protection hidden="1"/>
    </xf>
    <xf numFmtId="0" fontId="0" fillId="3" borderId="26" xfId="0" applyFont="1" applyFill="1" applyBorder="1" applyAlignment="1" applyProtection="1">
      <alignment horizontal="center" vertical="center"/>
      <protection hidden="1"/>
    </xf>
    <xf numFmtId="0" fontId="0" fillId="3" borderId="20" xfId="0" applyFont="1" applyFill="1" applyBorder="1" applyAlignment="1" applyProtection="1">
      <alignment horizontal="center" vertical="center"/>
      <protection hidden="1"/>
    </xf>
    <xf numFmtId="0" fontId="0" fillId="3" borderId="7" xfId="0" applyFont="1" applyFill="1" applyBorder="1" applyAlignment="1" applyProtection="1">
      <alignment horizontal="center" vertical="center" wrapText="1"/>
      <protection hidden="1"/>
    </xf>
    <xf numFmtId="0" fontId="13" fillId="3" borderId="5" xfId="0" applyFont="1" applyFill="1" applyBorder="1" applyAlignment="1" applyProtection="1">
      <alignment horizontal="center" vertical="center"/>
      <protection hidden="1"/>
    </xf>
    <xf numFmtId="0" fontId="0" fillId="3" borderId="5" xfId="0" applyFont="1" applyFill="1" applyBorder="1" applyAlignment="1" applyProtection="1">
      <alignment horizontal="center" vertical="center" wrapText="1"/>
      <protection hidden="1"/>
    </xf>
    <xf numFmtId="0" fontId="0" fillId="3" borderId="16" xfId="0" applyFont="1" applyFill="1" applyBorder="1" applyAlignment="1" applyProtection="1">
      <alignment horizontal="center" vertical="center" wrapText="1"/>
      <protection hidden="1"/>
    </xf>
    <xf numFmtId="0" fontId="0" fillId="3" borderId="20" xfId="0" applyFont="1" applyFill="1" applyBorder="1" applyAlignment="1" applyProtection="1">
      <alignment horizontal="center" vertical="center" wrapText="1"/>
      <protection hidden="1"/>
    </xf>
    <xf numFmtId="0" fontId="0" fillId="3" borderId="10" xfId="0" applyFont="1" applyFill="1" applyBorder="1" applyAlignment="1" applyProtection="1">
      <alignment horizontal="center" vertical="center" wrapText="1"/>
      <protection hidden="1"/>
    </xf>
    <xf numFmtId="0" fontId="0" fillId="3" borderId="24" xfId="0" applyFont="1" applyFill="1" applyBorder="1" applyAlignment="1" applyProtection="1">
      <alignment horizontal="center" vertical="center" wrapText="1"/>
      <protection hidden="1"/>
    </xf>
    <xf numFmtId="0" fontId="0" fillId="3" borderId="13" xfId="0" applyFont="1" applyFill="1" applyBorder="1" applyAlignment="1" applyProtection="1">
      <alignment horizontal="center" vertical="center" wrapText="1"/>
      <protection hidden="1"/>
    </xf>
    <xf numFmtId="0" fontId="0" fillId="3" borderId="22" xfId="0" applyFont="1" applyFill="1" applyBorder="1" applyAlignment="1" applyProtection="1">
      <alignment horizontal="center" vertical="center" wrapText="1"/>
      <protection hidden="1"/>
    </xf>
    <xf numFmtId="0" fontId="0" fillId="3" borderId="21" xfId="0" applyFont="1" applyFill="1" applyBorder="1" applyAlignment="1" applyProtection="1">
      <alignment horizontal="center" vertical="center" wrapText="1"/>
      <protection hidden="1"/>
    </xf>
    <xf numFmtId="0" fontId="0" fillId="3" borderId="0" xfId="0" applyFont="1" applyFill="1" applyBorder="1" applyAlignment="1" applyProtection="1">
      <alignment horizontal="center" vertical="center"/>
      <protection hidden="1"/>
    </xf>
    <xf numFmtId="0" fontId="0" fillId="3" borderId="14" xfId="0" applyFont="1" applyFill="1" applyBorder="1" applyAlignment="1" applyProtection="1">
      <alignment horizontal="center"/>
      <protection hidden="1"/>
    </xf>
    <xf numFmtId="0" fontId="8" fillId="3" borderId="17" xfId="0" applyFont="1" applyFill="1" applyBorder="1" applyAlignment="1" applyProtection="1">
      <alignment horizontal="center" vertical="center"/>
      <protection hidden="1"/>
    </xf>
    <xf numFmtId="0" fontId="8" fillId="3" borderId="14" xfId="0" applyFont="1" applyFill="1" applyBorder="1" applyAlignment="1" applyProtection="1">
      <alignment horizontal="center" vertical="center"/>
      <protection hidden="1"/>
    </xf>
    <xf numFmtId="0" fontId="0" fillId="4" borderId="26" xfId="0" applyFont="1" applyFill="1" applyBorder="1" applyAlignment="1" applyProtection="1">
      <alignment horizontal="center" vertical="center" wrapText="1"/>
      <protection hidden="1"/>
    </xf>
    <xf numFmtId="0" fontId="8" fillId="4" borderId="30" xfId="0" applyFont="1" applyFill="1" applyBorder="1" applyAlignment="1" applyProtection="1">
      <alignment horizontal="center" vertical="center"/>
      <protection hidden="1"/>
    </xf>
    <xf numFmtId="0" fontId="0" fillId="3" borderId="36" xfId="0" applyFont="1" applyFill="1" applyBorder="1" applyAlignment="1" applyProtection="1">
      <alignment horizontal="center" vertical="center"/>
      <protection hidden="1"/>
    </xf>
    <xf numFmtId="1" fontId="0" fillId="3" borderId="26" xfId="0" applyNumberFormat="1" applyFont="1" applyFill="1" applyBorder="1" applyAlignment="1" applyProtection="1">
      <alignment horizontal="center" vertical="center"/>
      <protection hidden="1"/>
    </xf>
    <xf numFmtId="0" fontId="0" fillId="3" borderId="37" xfId="0" applyFill="1" applyBorder="1" applyAlignment="1" applyProtection="1">
      <alignment horizontal="center" vertical="center"/>
      <protection hidden="1"/>
    </xf>
    <xf numFmtId="0" fontId="0" fillId="3" borderId="38" xfId="0" applyFill="1" applyBorder="1" applyAlignment="1" applyProtection="1">
      <alignment horizontal="center" vertical="center"/>
      <protection hidden="1"/>
    </xf>
    <xf numFmtId="0" fontId="0" fillId="3" borderId="39" xfId="0" applyFill="1" applyBorder="1" applyAlignment="1" applyProtection="1">
      <alignment horizontal="center" vertical="center"/>
      <protection hidden="1"/>
    </xf>
    <xf numFmtId="2" fontId="6" fillId="0" borderId="0" xfId="2" applyNumberFormat="1" applyFont="1" applyProtection="1">
      <protection hidden="1"/>
    </xf>
    <xf numFmtId="2" fontId="6" fillId="0" borderId="0" xfId="2" applyNumberFormat="1" applyFont="1" applyAlignment="1" applyProtection="1">
      <alignment horizontal="center" vertical="center"/>
      <protection hidden="1"/>
    </xf>
    <xf numFmtId="4" fontId="8" fillId="4" borderId="5" xfId="0" applyNumberFormat="1" applyFont="1" applyFill="1" applyBorder="1" applyAlignment="1" applyProtection="1">
      <alignment horizontal="center" vertical="center"/>
      <protection hidden="1"/>
    </xf>
    <xf numFmtId="4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 wrapText="1"/>
      <protection hidden="1"/>
    </xf>
    <xf numFmtId="1" fontId="6" fillId="0" borderId="0" xfId="2" applyNumberFormat="1" applyFont="1" applyAlignment="1" applyProtection="1">
      <alignment horizontal="center" vertical="center"/>
      <protection hidden="1"/>
    </xf>
    <xf numFmtId="3" fontId="8" fillId="4" borderId="0" xfId="0" applyNumberFormat="1" applyFont="1" applyFill="1" applyBorder="1" applyAlignment="1" applyProtection="1">
      <alignment horizontal="center" vertical="center"/>
      <protection hidden="1"/>
    </xf>
    <xf numFmtId="0" fontId="0" fillId="3" borderId="16" xfId="0" applyFont="1" applyFill="1" applyBorder="1" applyAlignment="1">
      <alignment horizontal="center" vertical="center"/>
    </xf>
    <xf numFmtId="0" fontId="0" fillId="3" borderId="17" xfId="0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/>
    </xf>
    <xf numFmtId="3" fontId="8" fillId="4" borderId="15" xfId="0" applyNumberFormat="1" applyFont="1" applyFill="1" applyBorder="1" applyAlignment="1" applyProtection="1">
      <alignment horizontal="center" vertical="center"/>
      <protection hidden="1"/>
    </xf>
    <xf numFmtId="0" fontId="0" fillId="3" borderId="24" xfId="0" applyFont="1" applyFill="1" applyBorder="1" applyAlignment="1">
      <alignment horizontal="center" vertical="center"/>
    </xf>
    <xf numFmtId="0" fontId="0" fillId="3" borderId="22" xfId="0" applyFont="1" applyFill="1" applyBorder="1" applyAlignment="1" applyProtection="1">
      <alignment horizontal="center" vertical="center"/>
      <protection hidden="1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 wrapText="1"/>
    </xf>
    <xf numFmtId="0" fontId="0" fillId="4" borderId="3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 applyProtection="1">
      <alignment horizontal="center" vertical="center"/>
      <protection hidden="1"/>
    </xf>
    <xf numFmtId="3" fontId="8" fillId="4" borderId="41" xfId="0" applyNumberFormat="1" applyFont="1" applyFill="1" applyBorder="1" applyAlignment="1" applyProtection="1">
      <alignment horizontal="center" vertical="center"/>
      <protection hidden="1"/>
    </xf>
    <xf numFmtId="2" fontId="6" fillId="0" borderId="37" xfId="2" applyNumberFormat="1" applyFont="1" applyBorder="1" applyProtection="1">
      <protection hidden="1"/>
    </xf>
    <xf numFmtId="0" fontId="13" fillId="4" borderId="32" xfId="0" applyFont="1" applyFill="1" applyBorder="1" applyAlignment="1" applyProtection="1">
      <alignment horizontal="center" vertical="center"/>
      <protection hidden="1"/>
    </xf>
    <xf numFmtId="0" fontId="13" fillId="4" borderId="32" xfId="0" applyFont="1" applyFill="1" applyBorder="1" applyAlignment="1" applyProtection="1">
      <alignment horizontal="center" vertical="center" wrapText="1"/>
      <protection hidden="1"/>
    </xf>
    <xf numFmtId="0" fontId="0" fillId="3" borderId="4" xfId="0" applyFont="1" applyFill="1" applyBorder="1" applyAlignment="1" applyProtection="1">
      <alignment horizontal="center" vertical="center"/>
      <protection hidden="1"/>
    </xf>
    <xf numFmtId="0" fontId="0" fillId="3" borderId="38" xfId="0" applyFill="1" applyBorder="1" applyProtection="1">
      <protection hidden="1"/>
    </xf>
    <xf numFmtId="0" fontId="0" fillId="3" borderId="42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 wrapText="1"/>
      <protection hidden="1"/>
    </xf>
    <xf numFmtId="0" fontId="8" fillId="3" borderId="7" xfId="0" applyFont="1" applyFill="1" applyBorder="1" applyAlignment="1" applyProtection="1">
      <alignment horizontal="center" vertical="center"/>
      <protection hidden="1"/>
    </xf>
    <xf numFmtId="0" fontId="0" fillId="3" borderId="17" xfId="0" applyFont="1" applyFill="1" applyBorder="1" applyAlignment="1" applyProtection="1">
      <alignment horizontal="center" vertical="center" wrapText="1"/>
      <protection hidden="1"/>
    </xf>
    <xf numFmtId="0" fontId="0" fillId="3" borderId="11" xfId="0" applyFont="1" applyFill="1" applyBorder="1" applyAlignment="1" applyProtection="1">
      <alignment horizontal="center" vertical="center" wrapText="1"/>
      <protection hidden="1"/>
    </xf>
    <xf numFmtId="0" fontId="0" fillId="3" borderId="39" xfId="0" applyFont="1" applyFill="1" applyBorder="1" applyAlignment="1" applyProtection="1">
      <alignment horizontal="center" vertical="center" wrapText="1"/>
      <protection hidden="1"/>
    </xf>
    <xf numFmtId="0" fontId="0" fillId="3" borderId="37" xfId="0" applyFont="1" applyFill="1" applyBorder="1" applyAlignment="1" applyProtection="1">
      <alignment horizontal="center" vertical="center" wrapText="1"/>
      <protection hidden="1"/>
    </xf>
    <xf numFmtId="0" fontId="13" fillId="4" borderId="43" xfId="0" applyFont="1" applyFill="1" applyBorder="1" applyAlignment="1" applyProtection="1">
      <alignment horizontal="center" vertical="center"/>
      <protection hidden="1"/>
    </xf>
    <xf numFmtId="0" fontId="13" fillId="4" borderId="44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27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19" xfId="0" applyNumberFormat="1" applyFont="1" applyFill="1" applyBorder="1" applyAlignment="1" applyProtection="1">
      <alignment horizontal="center" vertical="center"/>
      <protection hidden="1"/>
    </xf>
    <xf numFmtId="3" fontId="8" fillId="4" borderId="1" xfId="0" applyNumberFormat="1" applyFont="1" applyFill="1" applyBorder="1" applyAlignment="1" applyProtection="1">
      <alignment horizontal="center" vertical="center"/>
      <protection hidden="1"/>
    </xf>
    <xf numFmtId="3" fontId="8" fillId="4" borderId="28" xfId="0" applyNumberFormat="1" applyFont="1" applyFill="1" applyBorder="1" applyAlignment="1" applyProtection="1">
      <alignment horizontal="center" vertical="center"/>
      <protection hidden="1"/>
    </xf>
    <xf numFmtId="4" fontId="8" fillId="4" borderId="46" xfId="0" applyNumberFormat="1" applyFont="1" applyFill="1" applyBorder="1" applyAlignment="1" applyProtection="1">
      <alignment horizontal="center" vertical="center"/>
      <protection hidden="1"/>
    </xf>
    <xf numFmtId="3" fontId="8" fillId="4" borderId="32" xfId="0" applyNumberFormat="1" applyFont="1" applyFill="1" applyBorder="1" applyAlignment="1" applyProtection="1">
      <alignment horizontal="center" vertical="center"/>
      <protection hidden="1"/>
    </xf>
    <xf numFmtId="4" fontId="8" fillId="4" borderId="47" xfId="0" applyNumberFormat="1" applyFont="1" applyFill="1" applyBorder="1" applyAlignment="1" applyProtection="1">
      <alignment horizontal="center" vertical="center"/>
      <protection hidden="1"/>
    </xf>
    <xf numFmtId="3" fontId="8" fillId="4" borderId="18" xfId="0" applyNumberFormat="1" applyFont="1" applyFill="1" applyBorder="1" applyAlignment="1" applyProtection="1">
      <alignment horizontal="center" vertical="center"/>
      <protection hidden="1"/>
    </xf>
    <xf numFmtId="3" fontId="8" fillId="4" borderId="29" xfId="0" applyNumberFormat="1" applyFont="1" applyFill="1" applyBorder="1" applyAlignment="1" applyProtection="1">
      <alignment horizontal="center" vertical="center"/>
      <protection hidden="1"/>
    </xf>
    <xf numFmtId="4" fontId="8" fillId="4" borderId="48" xfId="0" applyNumberFormat="1" applyFont="1" applyFill="1" applyBorder="1" applyAlignment="1" applyProtection="1">
      <alignment horizontal="center" vertical="center"/>
      <protection hidden="1"/>
    </xf>
    <xf numFmtId="3" fontId="8" fillId="4" borderId="12" xfId="0" applyNumberFormat="1" applyFont="1" applyFill="1" applyBorder="1" applyAlignment="1" applyProtection="1">
      <alignment horizontal="center" vertical="center"/>
      <protection hidden="1"/>
    </xf>
    <xf numFmtId="4" fontId="8" fillId="4" borderId="49" xfId="0" applyNumberFormat="1" applyFont="1" applyFill="1" applyBorder="1" applyAlignment="1" applyProtection="1">
      <alignment horizontal="center" vertical="center"/>
      <protection hidden="1"/>
    </xf>
    <xf numFmtId="0" fontId="13" fillId="4" borderId="46" xfId="0" applyFont="1" applyFill="1" applyBorder="1" applyAlignment="1" applyProtection="1">
      <alignment horizontal="center" vertical="center"/>
      <protection hidden="1"/>
    </xf>
    <xf numFmtId="0" fontId="13" fillId="4" borderId="47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13" fillId="4" borderId="48" xfId="0" applyFont="1" applyFill="1" applyBorder="1" applyAlignment="1" applyProtection="1">
      <alignment horizontal="center" vertical="center"/>
      <protection hidden="1"/>
    </xf>
    <xf numFmtId="0" fontId="8" fillId="4" borderId="32" xfId="0" applyFont="1" applyFill="1" applyBorder="1" applyAlignment="1" applyProtection="1">
      <alignment horizontal="center" vertical="center"/>
      <protection hidden="1"/>
    </xf>
    <xf numFmtId="0" fontId="0" fillId="4" borderId="50" xfId="0" applyFont="1" applyFill="1" applyBorder="1" applyAlignment="1" applyProtection="1">
      <alignment horizontal="center" vertical="center" wrapText="1"/>
      <protection hidden="1"/>
    </xf>
    <xf numFmtId="0" fontId="13" fillId="4" borderId="27" xfId="0" applyFont="1" applyFill="1" applyBorder="1" applyAlignment="1" applyProtection="1">
      <alignment horizontal="center" vertical="center"/>
      <protection hidden="1"/>
    </xf>
    <xf numFmtId="0" fontId="0" fillId="4" borderId="21" xfId="0" applyFont="1" applyFill="1" applyBorder="1" applyAlignment="1" applyProtection="1">
      <alignment horizontal="center" vertical="center" wrapText="1"/>
      <protection hidden="1"/>
    </xf>
    <xf numFmtId="0" fontId="0" fillId="3" borderId="51" xfId="0" applyFont="1" applyFill="1" applyBorder="1" applyAlignment="1" applyProtection="1">
      <alignment horizontal="center" vertical="center"/>
      <protection hidden="1"/>
    </xf>
    <xf numFmtId="0" fontId="13" fillId="4" borderId="27" xfId="0" applyFont="1" applyFill="1" applyBorder="1" applyAlignment="1" applyProtection="1">
      <alignment horizontal="center" vertical="center" wrapText="1"/>
      <protection hidden="1"/>
    </xf>
    <xf numFmtId="164" fontId="13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13" fillId="4" borderId="7" xfId="0" applyFont="1" applyFill="1" applyBorder="1" applyAlignment="1" applyProtection="1">
      <alignment horizontal="center" vertical="center"/>
      <protection hidden="1"/>
    </xf>
    <xf numFmtId="0" fontId="13" fillId="4" borderId="19" xfId="0" applyFont="1" applyFill="1" applyBorder="1" applyAlignment="1" applyProtection="1">
      <alignment horizontal="center" vertical="center" wrapText="1"/>
      <protection hidden="1"/>
    </xf>
    <xf numFmtId="0" fontId="13" fillId="4" borderId="18" xfId="0" applyFont="1" applyFill="1" applyBorder="1" applyAlignment="1" applyProtection="1">
      <alignment horizontal="center" vertical="center" wrapText="1"/>
      <protection hidden="1"/>
    </xf>
    <xf numFmtId="0" fontId="0" fillId="3" borderId="52" xfId="0" applyFill="1" applyBorder="1" applyAlignment="1" applyProtection="1">
      <alignment horizontal="center" vertical="center"/>
      <protection hidden="1"/>
    </xf>
    <xf numFmtId="0" fontId="0" fillId="3" borderId="53" xfId="0" applyFill="1" applyBorder="1" applyAlignment="1" applyProtection="1">
      <alignment horizontal="center" vertical="center"/>
      <protection hidden="1"/>
    </xf>
    <xf numFmtId="164" fontId="0" fillId="3" borderId="39" xfId="0" applyNumberFormat="1" applyFill="1" applyBorder="1" applyAlignment="1" applyProtection="1">
      <alignment horizontal="center" vertical="center"/>
      <protection hidden="1"/>
    </xf>
    <xf numFmtId="164" fontId="0" fillId="3" borderId="38" xfId="0" applyNumberFormat="1" applyFill="1" applyBorder="1" applyAlignment="1" applyProtection="1">
      <alignment horizontal="center" vertical="center"/>
      <protection hidden="1"/>
    </xf>
    <xf numFmtId="164" fontId="0" fillId="3" borderId="37" xfId="0" applyNumberForma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 wrapText="1"/>
      <protection hidden="1"/>
    </xf>
    <xf numFmtId="0" fontId="0" fillId="5" borderId="5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7" borderId="3" xfId="0" applyFont="1" applyFill="1" applyBorder="1" applyAlignment="1" applyProtection="1">
      <alignment horizontal="center" vertical="center" wrapText="1"/>
      <protection hidden="1"/>
    </xf>
    <xf numFmtId="0" fontId="0" fillId="3" borderId="54" xfId="0" applyNumberFormat="1" applyFont="1" applyFill="1" applyBorder="1" applyAlignment="1" applyProtection="1">
      <alignment horizontal="center" vertical="center"/>
      <protection hidden="1"/>
    </xf>
    <xf numFmtId="0" fontId="0" fillId="3" borderId="55" xfId="0" applyNumberFormat="1" applyFont="1" applyFill="1" applyBorder="1" applyAlignment="1" applyProtection="1">
      <alignment horizontal="center" vertical="center"/>
      <protection hidden="1"/>
    </xf>
    <xf numFmtId="1" fontId="8" fillId="4" borderId="19" xfId="0" applyNumberFormat="1" applyFont="1" applyFill="1" applyBorder="1" applyAlignment="1">
      <alignment horizontal="center" vertical="center"/>
    </xf>
    <xf numFmtId="1" fontId="8" fillId="4" borderId="1" xfId="0" applyNumberFormat="1" applyFont="1" applyFill="1" applyBorder="1" applyAlignment="1">
      <alignment horizontal="center" vertical="center"/>
    </xf>
    <xf numFmtId="1" fontId="8" fillId="4" borderId="28" xfId="0" applyNumberFormat="1" applyFont="1" applyFill="1" applyBorder="1" applyAlignment="1">
      <alignment horizontal="center" vertical="center"/>
    </xf>
    <xf numFmtId="4" fontId="8" fillId="4" borderId="1" xfId="0" applyNumberFormat="1" applyFont="1" applyFill="1" applyBorder="1" applyAlignment="1" applyProtection="1">
      <alignment horizontal="center" vertical="center"/>
      <protection hidden="1"/>
    </xf>
    <xf numFmtId="1" fontId="8" fillId="4" borderId="32" xfId="0" applyNumberFormat="1" applyFont="1" applyFill="1" applyBorder="1" applyAlignment="1">
      <alignment horizontal="center" vertical="center"/>
    </xf>
    <xf numFmtId="1" fontId="8" fillId="4" borderId="2" xfId="0" applyNumberFormat="1" applyFont="1" applyFill="1" applyBorder="1" applyAlignment="1">
      <alignment horizontal="center" vertical="center"/>
    </xf>
    <xf numFmtId="1" fontId="8" fillId="4" borderId="21" xfId="0" applyNumberFormat="1" applyFont="1" applyFill="1" applyBorder="1" applyAlignment="1">
      <alignment horizontal="center" vertical="center"/>
    </xf>
    <xf numFmtId="4" fontId="8" fillId="4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18" xfId="0" applyNumberFormat="1" applyFont="1" applyFill="1" applyBorder="1" applyAlignment="1">
      <alignment horizontal="center" vertical="center"/>
    </xf>
    <xf numFmtId="1" fontId="8" fillId="4" borderId="3" xfId="0" applyNumberFormat="1" applyFont="1" applyFill="1" applyBorder="1" applyAlignment="1">
      <alignment horizontal="center" vertical="center"/>
    </xf>
    <xf numFmtId="1" fontId="8" fillId="4" borderId="29" xfId="0" applyNumberFormat="1" applyFont="1" applyFill="1" applyBorder="1" applyAlignment="1">
      <alignment horizontal="center" vertical="center"/>
    </xf>
    <xf numFmtId="4" fontId="8" fillId="4" borderId="3" xfId="0" applyNumberFormat="1" applyFont="1" applyFill="1" applyBorder="1" applyAlignment="1" applyProtection="1">
      <alignment horizontal="center" vertical="center"/>
      <protection hidden="1"/>
    </xf>
    <xf numFmtId="2" fontId="8" fillId="4" borderId="46" xfId="0" applyNumberFormat="1" applyFont="1" applyFill="1" applyBorder="1" applyAlignment="1">
      <alignment horizontal="center" vertical="center"/>
    </xf>
    <xf numFmtId="2" fontId="8" fillId="4" borderId="3" xfId="0" applyNumberFormat="1" applyFont="1" applyFill="1" applyBorder="1" applyAlignment="1">
      <alignment horizontal="center" vertical="center"/>
    </xf>
    <xf numFmtId="0" fontId="0" fillId="4" borderId="2" xfId="0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3" fontId="8" fillId="4" borderId="31" xfId="0" applyNumberFormat="1" applyFont="1" applyFill="1" applyBorder="1" applyAlignment="1" applyProtection="1">
      <alignment horizontal="center" vertical="center"/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56" xfId="0" applyFont="1" applyFill="1" applyBorder="1" applyAlignment="1" applyProtection="1">
      <alignment horizontal="center" vertical="center"/>
      <protection hidden="1"/>
    </xf>
    <xf numFmtId="0" fontId="0" fillId="3" borderId="45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 wrapText="1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10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0" fillId="3" borderId="11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 applyProtection="1">
      <alignment horizontal="center" vertical="center"/>
      <protection hidden="1"/>
    </xf>
    <xf numFmtId="0" fontId="0" fillId="3" borderId="0" xfId="0" applyFont="1" applyFill="1" applyBorder="1" applyAlignment="1" applyProtection="1">
      <alignment horizontal="center" vertical="center" wrapText="1"/>
      <protection hidden="1"/>
    </xf>
    <xf numFmtId="0" fontId="0" fillId="3" borderId="14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0" borderId="4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4" borderId="39" xfId="0" applyFont="1" applyFill="1" applyBorder="1" applyAlignment="1" applyProtection="1">
      <alignment horizontal="center" vertical="center" wrapText="1"/>
      <protection hidden="1"/>
    </xf>
    <xf numFmtId="0" fontId="0" fillId="4" borderId="38" xfId="0" applyFont="1" applyFill="1" applyBorder="1" applyAlignment="1" applyProtection="1">
      <alignment horizontal="center" vertical="center" wrapText="1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13" fillId="4" borderId="12" xfId="0" applyFont="1" applyFill="1" applyBorder="1" applyAlignment="1" applyProtection="1">
      <alignment horizontal="center" vertical="center"/>
      <protection hidden="1"/>
    </xf>
    <xf numFmtId="1" fontId="8" fillId="4" borderId="12" xfId="0" applyNumberFormat="1" applyFont="1" applyFill="1" applyBorder="1" applyAlignment="1" applyProtection="1">
      <alignment horizontal="center" vertical="center"/>
      <protection hidden="1"/>
    </xf>
    <xf numFmtId="0" fontId="0" fillId="4" borderId="29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/>
      <protection hidden="1"/>
    </xf>
    <xf numFmtId="3" fontId="8" fillId="4" borderId="57" xfId="0" applyNumberFormat="1" applyFont="1" applyFill="1" applyBorder="1" applyAlignment="1" applyProtection="1">
      <alignment horizontal="center" vertical="center"/>
      <protection hidden="1"/>
    </xf>
    <xf numFmtId="0" fontId="0" fillId="4" borderId="28" xfId="0" applyFont="1" applyFill="1" applyBorder="1" applyAlignment="1" applyProtection="1">
      <alignment horizontal="center" vertical="center" wrapText="1"/>
      <protection hidden="1"/>
    </xf>
    <xf numFmtId="0" fontId="0" fillId="4" borderId="21" xfId="0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4" borderId="50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0" fillId="4" borderId="46" xfId="0" applyFont="1" applyFill="1" applyBorder="1" applyAlignment="1" applyProtection="1">
      <alignment horizontal="center" vertical="center" wrapText="1"/>
      <protection hidden="1"/>
    </xf>
    <xf numFmtId="0" fontId="0" fillId="4" borderId="48" xfId="0" applyFont="1" applyFill="1" applyBorder="1" applyAlignment="1" applyProtection="1">
      <alignment horizontal="center" vertical="center" wrapText="1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3" borderId="23" xfId="0" applyFont="1" applyFill="1" applyBorder="1" applyAlignment="1" applyProtection="1">
      <alignment horizontal="center" vertical="center" wrapText="1"/>
      <protection hidden="1"/>
    </xf>
    <xf numFmtId="0" fontId="0" fillId="3" borderId="58" xfId="0" applyFont="1" applyFill="1" applyBorder="1" applyAlignment="1" applyProtection="1">
      <alignment horizontal="center" vertical="center"/>
      <protection hidden="1"/>
    </xf>
    <xf numFmtId="3" fontId="8" fillId="4" borderId="43" xfId="0" applyNumberFormat="1" applyFont="1" applyFill="1" applyBorder="1" applyAlignment="1" applyProtection="1">
      <alignment horizontal="center" vertical="center"/>
      <protection hidden="1"/>
    </xf>
    <xf numFmtId="4" fontId="8" fillId="4" borderId="12" xfId="0" applyNumberFormat="1" applyFont="1" applyFill="1" applyBorder="1" applyAlignment="1" applyProtection="1">
      <alignment horizontal="center" vertical="center"/>
      <protection hidden="1"/>
    </xf>
    <xf numFmtId="0" fontId="13" fillId="4" borderId="31" xfId="0" applyFont="1" applyFill="1" applyBorder="1" applyAlignment="1" applyProtection="1">
      <alignment horizontal="center" vertical="center"/>
      <protection hidden="1"/>
    </xf>
    <xf numFmtId="0" fontId="0" fillId="3" borderId="59" xfId="0" applyFont="1" applyFill="1" applyBorder="1" applyAlignment="1" applyProtection="1">
      <alignment horizontal="center" vertical="center"/>
      <protection hidden="1"/>
    </xf>
    <xf numFmtId="4" fontId="8" fillId="4" borderId="31" xfId="0" applyNumberFormat="1" applyFont="1" applyFill="1" applyBorder="1" applyAlignment="1" applyProtection="1">
      <alignment horizontal="center" vertical="center"/>
      <protection hidden="1"/>
    </xf>
    <xf numFmtId="0" fontId="0" fillId="0" borderId="30" xfId="0" applyFont="1" applyFill="1" applyBorder="1" applyAlignment="1" applyProtection="1">
      <alignment horizontal="center" vertical="center" wrapText="1"/>
      <protection hidden="1"/>
    </xf>
    <xf numFmtId="0" fontId="13" fillId="0" borderId="4" xfId="0" applyFont="1" applyFill="1" applyBorder="1" applyAlignment="1" applyProtection="1">
      <alignment horizontal="center" vertical="center"/>
      <protection hidden="1"/>
    </xf>
    <xf numFmtId="0" fontId="0" fillId="0" borderId="4" xfId="0" applyFont="1" applyFill="1" applyBorder="1" applyAlignment="1" applyProtection="1">
      <alignment horizontal="center" vertical="center" wrapText="1"/>
      <protection hidden="1"/>
    </xf>
    <xf numFmtId="0" fontId="6" fillId="0" borderId="4" xfId="1" applyFont="1" applyFill="1" applyBorder="1" applyAlignment="1" applyProtection="1">
      <alignment horizontal="center" vertical="center"/>
      <protection hidden="1"/>
    </xf>
    <xf numFmtId="3" fontId="8" fillId="0" borderId="4" xfId="0" applyNumberFormat="1" applyFont="1" applyFill="1" applyBorder="1" applyAlignment="1" applyProtection="1">
      <alignment horizontal="center" vertical="center"/>
      <protection hidden="1"/>
    </xf>
    <xf numFmtId="4" fontId="8" fillId="0" borderId="8" xfId="0" applyNumberFormat="1" applyFont="1" applyFill="1" applyBorder="1" applyAlignment="1" applyProtection="1">
      <alignment horizontal="center" vertical="center"/>
      <protection hidden="1"/>
    </xf>
    <xf numFmtId="2" fontId="6" fillId="0" borderId="0" xfId="2" applyNumberFormat="1" applyFont="1" applyFill="1" applyProtection="1">
      <protection hidden="1"/>
    </xf>
    <xf numFmtId="2" fontId="6" fillId="0" borderId="0" xfId="2" applyNumberFormat="1" applyFont="1" applyFill="1" applyAlignment="1" applyProtection="1">
      <alignment horizontal="center" vertical="center"/>
      <protection hidden="1"/>
    </xf>
    <xf numFmtId="1" fontId="8" fillId="0" borderId="30" xfId="0" applyNumberFormat="1" applyFont="1" applyFill="1" applyBorder="1" applyAlignment="1" applyProtection="1">
      <alignment horizontal="center" vertical="center"/>
      <protection hidden="1"/>
    </xf>
    <xf numFmtId="0" fontId="8" fillId="0" borderId="33" xfId="0" applyFont="1" applyFill="1" applyBorder="1" applyAlignment="1" applyProtection="1">
      <alignment horizontal="center" vertical="center"/>
      <protection hidden="1"/>
    </xf>
    <xf numFmtId="0" fontId="0" fillId="3" borderId="52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0" fillId="3" borderId="7" xfId="0" applyFont="1" applyFill="1" applyBorder="1" applyAlignment="1" applyProtection="1">
      <alignment horizontal="center" vertical="center"/>
      <protection hidden="1"/>
    </xf>
    <xf numFmtId="0" fontId="0" fillId="3" borderId="60" xfId="0" applyFont="1" applyFill="1" applyBorder="1" applyAlignment="1" applyProtection="1">
      <alignment horizontal="center" vertical="center"/>
      <protection hidden="1"/>
    </xf>
    <xf numFmtId="0" fontId="0" fillId="3" borderId="35" xfId="0" applyFont="1" applyFill="1" applyBorder="1" applyAlignment="1" applyProtection="1">
      <alignment horizontal="center" vertical="center"/>
      <protection hidden="1"/>
    </xf>
    <xf numFmtId="2" fontId="6" fillId="0" borderId="50" xfId="2" applyNumberFormat="1" applyFont="1" applyBorder="1" applyProtection="1">
      <protection hidden="1"/>
    </xf>
    <xf numFmtId="2" fontId="6" fillId="0" borderId="50" xfId="2" applyNumberFormat="1" applyFont="1" applyBorder="1" applyAlignment="1" applyProtection="1">
      <alignment horizontal="center" vertical="center"/>
      <protection hidden="1"/>
    </xf>
    <xf numFmtId="2" fontId="6" fillId="0" borderId="21" xfId="2" applyNumberFormat="1" applyFont="1" applyBorder="1" applyProtection="1">
      <protection hidden="1"/>
    </xf>
    <xf numFmtId="2" fontId="6" fillId="0" borderId="21" xfId="2" applyNumberFormat="1" applyFont="1" applyBorder="1" applyAlignment="1" applyProtection="1">
      <alignment horizontal="center" vertical="center"/>
      <protection hidden="1"/>
    </xf>
    <xf numFmtId="2" fontId="6" fillId="0" borderId="23" xfId="2" applyNumberFormat="1" applyFont="1" applyBorder="1" applyProtection="1">
      <protection hidden="1"/>
    </xf>
    <xf numFmtId="2" fontId="6" fillId="0" borderId="23" xfId="2" applyNumberFormat="1" applyFont="1" applyBorder="1" applyAlignment="1" applyProtection="1">
      <alignment horizontal="center" vertical="center"/>
      <protection hidden="1"/>
    </xf>
    <xf numFmtId="3" fontId="8" fillId="4" borderId="44" xfId="0" applyNumberFormat="1" applyFont="1" applyFill="1" applyBorder="1" applyAlignment="1" applyProtection="1">
      <alignment horizontal="center" vertical="center"/>
      <protection hidden="1"/>
    </xf>
    <xf numFmtId="3" fontId="8" fillId="4" borderId="27" xfId="0" applyNumberFormat="1" applyFont="1" applyFill="1" applyBorder="1" applyAlignment="1" applyProtection="1">
      <alignment horizontal="center" vertical="center"/>
      <protection hidden="1"/>
    </xf>
    <xf numFmtId="4" fontId="8" fillId="4" borderId="61" xfId="0" applyNumberFormat="1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vertical="center"/>
      <protection hidden="1"/>
    </xf>
    <xf numFmtId="0" fontId="0" fillId="0" borderId="5" xfId="0" applyBorder="1" applyProtection="1">
      <protection hidden="1"/>
    </xf>
    <xf numFmtId="0" fontId="0" fillId="4" borderId="4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 wrapText="1"/>
      <protection hidden="1"/>
    </xf>
    <xf numFmtId="3" fontId="0" fillId="3" borderId="25" xfId="0" applyNumberFormat="1" applyFill="1" applyBorder="1" applyAlignment="1" applyProtection="1">
      <alignment horizontal="center" vertical="center"/>
      <protection hidden="1"/>
    </xf>
    <xf numFmtId="3" fontId="0" fillId="3" borderId="51" xfId="0" applyNumberFormat="1" applyFill="1" applyBorder="1" applyAlignment="1" applyProtection="1">
      <alignment horizontal="center" vertical="center"/>
      <protection hidden="1"/>
    </xf>
    <xf numFmtId="0" fontId="0" fillId="3" borderId="25" xfId="0" applyFill="1" applyBorder="1" applyAlignment="1" applyProtection="1">
      <alignment horizontal="center" vertical="center"/>
      <protection hidden="1"/>
    </xf>
    <xf numFmtId="0" fontId="0" fillId="3" borderId="51" xfId="0" applyFill="1" applyBorder="1" applyAlignment="1" applyProtection="1">
      <alignment horizontal="center" vertical="center"/>
      <protection hidden="1"/>
    </xf>
    <xf numFmtId="164" fontId="0" fillId="3" borderId="36" xfId="0" applyNumberFormat="1" applyFill="1" applyBorder="1" applyAlignment="1" applyProtection="1">
      <alignment horizontal="center" vertical="center"/>
      <protection hidden="1"/>
    </xf>
    <xf numFmtId="0" fontId="0" fillId="3" borderId="36" xfId="0" applyFill="1" applyBorder="1" applyAlignment="1" applyProtection="1">
      <alignment horizontal="center" vertical="center"/>
      <protection hidden="1"/>
    </xf>
    <xf numFmtId="0" fontId="0" fillId="3" borderId="62" xfId="0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/>
      <protection hidden="1"/>
    </xf>
    <xf numFmtId="0" fontId="0" fillId="3" borderId="5" xfId="0" applyFont="1" applyFill="1" applyBorder="1" applyAlignment="1" applyProtection="1">
      <alignment horizontal="center" vertical="center"/>
      <protection hidden="1"/>
    </xf>
    <xf numFmtId="164" fontId="0" fillId="3" borderId="62" xfId="0" applyNumberFormat="1" applyFill="1" applyBorder="1" applyAlignment="1" applyProtection="1">
      <alignment horizontal="center" vertical="center"/>
      <protection hidden="1"/>
    </xf>
    <xf numFmtId="3" fontId="0" fillId="3" borderId="52" xfId="0" applyNumberFormat="1" applyFill="1" applyBorder="1" applyAlignment="1" applyProtection="1">
      <alignment horizontal="center" vertical="center"/>
      <protection hidden="1"/>
    </xf>
    <xf numFmtId="3" fontId="0" fillId="3" borderId="55" xfId="0" applyNumberFormat="1" applyFill="1" applyBorder="1" applyAlignment="1" applyProtection="1">
      <alignment horizontal="center" vertical="center"/>
      <protection hidden="1"/>
    </xf>
    <xf numFmtId="0" fontId="13" fillId="4" borderId="8" xfId="0" applyFont="1" applyFill="1" applyBorder="1" applyAlignment="1" applyProtection="1">
      <alignment horizontal="center" vertical="center"/>
      <protection hidden="1"/>
    </xf>
    <xf numFmtId="0" fontId="11" fillId="3" borderId="5" xfId="1" applyFont="1" applyFill="1" applyBorder="1" applyAlignment="1" applyProtection="1">
      <alignment horizontal="center" vertical="center"/>
      <protection hidden="1"/>
    </xf>
    <xf numFmtId="0" fontId="0" fillId="3" borderId="63" xfId="0" applyFont="1" applyFill="1" applyBorder="1" applyAlignment="1" applyProtection="1">
      <alignment horizontal="center" vertical="center"/>
      <protection hidden="1"/>
    </xf>
    <xf numFmtId="0" fontId="0" fillId="3" borderId="62" xfId="0" applyFont="1" applyFill="1" applyBorder="1" applyAlignment="1" applyProtection="1">
      <alignment horizontal="center" vertical="center"/>
      <protection hidden="1"/>
    </xf>
    <xf numFmtId="2" fontId="0" fillId="3" borderId="39" xfId="0" applyNumberFormat="1" applyFont="1" applyFill="1" applyBorder="1" applyAlignment="1" applyProtection="1">
      <alignment horizontal="center" vertical="center"/>
      <protection hidden="1"/>
    </xf>
    <xf numFmtId="0" fontId="0" fillId="3" borderId="12" xfId="0" applyFont="1" applyFill="1" applyBorder="1" applyAlignment="1" applyProtection="1">
      <alignment horizontal="center" vertical="center"/>
      <protection hidden="1"/>
    </xf>
    <xf numFmtId="0" fontId="0" fillId="3" borderId="64" xfId="0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>
      <alignment horizontal="center" vertical="center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7" borderId="27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vertical="center"/>
      <protection hidden="1"/>
    </xf>
    <xf numFmtId="0" fontId="0" fillId="7" borderId="5" xfId="0" applyFont="1" applyFill="1" applyBorder="1" applyAlignment="1" applyProtection="1">
      <alignment vertical="center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horizontal="center" vertical="center" wrapText="1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 wrapText="1"/>
      <protection hidden="1"/>
    </xf>
    <xf numFmtId="0" fontId="0" fillId="7" borderId="40" xfId="0" applyFont="1" applyFill="1" applyBorder="1" applyAlignment="1" applyProtection="1">
      <alignment horizontal="center" vertical="center" wrapText="1"/>
      <protection hidden="1"/>
    </xf>
    <xf numFmtId="0" fontId="0" fillId="4" borderId="40" xfId="0" applyFont="1" applyFill="1" applyBorder="1" applyAlignment="1" applyProtection="1">
      <alignment horizontal="center" vertical="center" wrapText="1"/>
      <protection hidden="1"/>
    </xf>
    <xf numFmtId="0" fontId="13" fillId="4" borderId="2" xfId="0" applyFont="1" applyFill="1" applyBorder="1" applyAlignment="1" applyProtection="1">
      <alignment horizontal="center"/>
      <protection hidden="1"/>
    </xf>
    <xf numFmtId="0" fontId="0" fillId="3" borderId="65" xfId="0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13" fillId="3" borderId="27" xfId="0" applyFont="1" applyFill="1" applyBorder="1" applyAlignment="1" applyProtection="1">
      <alignment horizontal="center" vertical="center"/>
      <protection hidden="1"/>
    </xf>
    <xf numFmtId="0" fontId="0" fillId="3" borderId="26" xfId="0" applyFill="1" applyBorder="1" applyAlignment="1" applyProtection="1">
      <alignment horizontal="center" vertical="center"/>
      <protection hidden="1"/>
    </xf>
    <xf numFmtId="0" fontId="0" fillId="4" borderId="53" xfId="0" applyFill="1" applyBorder="1" applyAlignment="1" applyProtection="1">
      <alignment horizontal="center" vertical="center"/>
      <protection hidden="1"/>
    </xf>
    <xf numFmtId="0" fontId="0" fillId="4" borderId="11" xfId="0" applyFill="1" applyBorder="1" applyAlignment="1" applyProtection="1">
      <alignment horizontal="center" vertical="center"/>
      <protection hidden="1"/>
    </xf>
    <xf numFmtId="0" fontId="0" fillId="4" borderId="14" xfId="0" applyFill="1" applyBorder="1" applyAlignment="1" applyProtection="1">
      <alignment horizontal="center" vertical="center"/>
      <protection hidden="1"/>
    </xf>
    <xf numFmtId="0" fontId="0" fillId="3" borderId="39" xfId="0" applyFill="1" applyBorder="1" applyProtection="1">
      <protection hidden="1"/>
    </xf>
    <xf numFmtId="0" fontId="0" fillId="3" borderId="1" xfId="0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 applyProtection="1">
      <alignment horizontal="center" vertical="center"/>
      <protection hidden="1"/>
    </xf>
    <xf numFmtId="0" fontId="13" fillId="3" borderId="12" xfId="0" applyFont="1" applyFill="1" applyBorder="1" applyAlignment="1" applyProtection="1">
      <alignment horizontal="center" vertical="center"/>
      <protection hidden="1"/>
    </xf>
    <xf numFmtId="164" fontId="13" fillId="4" borderId="31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39" xfId="0" applyFont="1" applyFill="1" applyBorder="1" applyAlignment="1">
      <alignment horizontal="center" vertical="center"/>
    </xf>
    <xf numFmtId="0" fontId="0" fillId="3" borderId="38" xfId="0" applyFont="1" applyFill="1" applyBorder="1" applyAlignment="1">
      <alignment horizontal="center" vertical="center"/>
    </xf>
    <xf numFmtId="0" fontId="6" fillId="3" borderId="1" xfId="1" applyFont="1" applyFill="1" applyBorder="1" applyAlignment="1" applyProtection="1">
      <alignment horizontal="center" vertical="center" wrapText="1"/>
      <protection hidden="1"/>
    </xf>
    <xf numFmtId="0" fontId="6" fillId="3" borderId="3" xfId="1" applyFont="1" applyFill="1" applyBorder="1" applyAlignment="1" applyProtection="1">
      <alignment horizontal="center" vertical="center" wrapText="1"/>
      <protection hidden="1"/>
    </xf>
    <xf numFmtId="0" fontId="0" fillId="3" borderId="27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  <xf numFmtId="0" fontId="0" fillId="3" borderId="28" xfId="0" applyFill="1" applyBorder="1" applyAlignment="1" applyProtection="1">
      <alignment horizontal="center" vertical="center"/>
      <protection hidden="1"/>
    </xf>
    <xf numFmtId="0" fontId="0" fillId="3" borderId="21" xfId="0" applyFill="1" applyBorder="1" applyAlignment="1" applyProtection="1">
      <alignment horizontal="center" vertical="center"/>
      <protection hidden="1"/>
    </xf>
    <xf numFmtId="0" fontId="0" fillId="3" borderId="29" xfId="0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vertical="top"/>
      <protection hidden="1"/>
    </xf>
    <xf numFmtId="0" fontId="15" fillId="0" borderId="57" xfId="0" applyFont="1" applyBorder="1" applyAlignment="1" applyProtection="1">
      <alignment horizontal="center" vertical="top"/>
      <protection hidden="1"/>
    </xf>
    <xf numFmtId="0" fontId="15" fillId="0" borderId="6" xfId="0" applyFont="1" applyBorder="1" applyAlignment="1" applyProtection="1">
      <alignment vertical="top"/>
      <protection hidden="1"/>
    </xf>
    <xf numFmtId="0" fontId="0" fillId="0" borderId="0" xfId="0" applyBorder="1" applyProtection="1">
      <protection hidden="1"/>
    </xf>
    <xf numFmtId="2" fontId="6" fillId="0" borderId="0" xfId="2" applyNumberFormat="1" applyFont="1" applyBorder="1" applyProtection="1">
      <protection hidden="1"/>
    </xf>
    <xf numFmtId="2" fontId="6" fillId="0" borderId="0" xfId="2" applyNumberFormat="1" applyFont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 applyProtection="1">
      <alignment vertical="center"/>
      <protection hidden="1"/>
    </xf>
    <xf numFmtId="0" fontId="8" fillId="0" borderId="8" xfId="0" applyFont="1" applyFill="1" applyBorder="1" applyAlignment="1" applyProtection="1">
      <alignment vertical="center"/>
      <protection hidden="1"/>
    </xf>
    <xf numFmtId="0" fontId="8" fillId="0" borderId="49" xfId="0" applyFont="1" applyFill="1" applyBorder="1" applyAlignment="1" applyProtection="1">
      <alignment vertical="center"/>
      <protection hidden="1"/>
    </xf>
    <xf numFmtId="0" fontId="8" fillId="5" borderId="34" xfId="0" applyFont="1" applyFill="1" applyBorder="1" applyAlignment="1" applyProtection="1">
      <protection hidden="1"/>
    </xf>
    <xf numFmtId="0" fontId="8" fillId="0" borderId="8" xfId="0" applyFont="1" applyFill="1" applyBorder="1" applyAlignment="1" applyProtection="1">
      <alignment vertical="center" wrapText="1"/>
      <protection hidden="1"/>
    </xf>
    <xf numFmtId="0" fontId="8" fillId="0" borderId="8" xfId="0" applyFont="1" applyBorder="1" applyAlignment="1" applyProtection="1">
      <protection hidden="1"/>
    </xf>
    <xf numFmtId="0" fontId="8" fillId="5" borderId="8" xfId="0" applyFont="1" applyFill="1" applyBorder="1" applyAlignment="1" applyProtection="1">
      <protection hidden="1"/>
    </xf>
    <xf numFmtId="2" fontId="6" fillId="0" borderId="30" xfId="2" applyNumberFormat="1" applyFont="1" applyBorder="1" applyProtection="1">
      <protection hidden="1"/>
    </xf>
    <xf numFmtId="2" fontId="6" fillId="0" borderId="30" xfId="2" applyNumberFormat="1" applyFont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/>
      <protection hidden="1"/>
    </xf>
    <xf numFmtId="0" fontId="0" fillId="3" borderId="2" xfId="0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Protection="1">
      <protection hidden="1"/>
    </xf>
    <xf numFmtId="0" fontId="0" fillId="3" borderId="3" xfId="0" applyFill="1" applyBorder="1" applyProtection="1">
      <protection hidden="1"/>
    </xf>
    <xf numFmtId="2" fontId="8" fillId="4" borderId="46" xfId="0" applyNumberFormat="1" applyFont="1" applyFill="1" applyBorder="1" applyAlignment="1" applyProtection="1">
      <alignment horizontal="center" vertical="center"/>
      <protection hidden="1"/>
    </xf>
    <xf numFmtId="2" fontId="8" fillId="4" borderId="48" xfId="0" applyNumberFormat="1" applyFont="1" applyFill="1" applyBorder="1" applyAlignment="1" applyProtection="1">
      <alignment horizontal="center" vertical="center"/>
      <protection hidden="1"/>
    </xf>
    <xf numFmtId="0" fontId="7" fillId="8" borderId="5" xfId="0" applyFont="1" applyFill="1" applyBorder="1" applyAlignment="1" applyProtection="1">
      <alignment horizontal="center" vertical="center"/>
      <protection hidden="1"/>
    </xf>
    <xf numFmtId="0" fontId="7" fillId="9" borderId="2" xfId="0" applyFont="1" applyFill="1" applyBorder="1" applyAlignment="1" applyProtection="1">
      <alignment horizontal="center" vertical="center"/>
      <protection hidden="1"/>
    </xf>
    <xf numFmtId="0" fontId="7" fillId="10" borderId="2" xfId="0" applyFont="1" applyFill="1" applyBorder="1" applyAlignment="1" applyProtection="1">
      <alignment horizontal="center" vertical="center"/>
      <protection hidden="1"/>
    </xf>
    <xf numFmtId="0" fontId="7" fillId="11" borderId="2" xfId="0" applyFont="1" applyFill="1" applyBorder="1" applyAlignment="1" applyProtection="1">
      <alignment horizontal="center" vertical="center"/>
      <protection hidden="1"/>
    </xf>
    <xf numFmtId="0" fontId="7" fillId="12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0" fillId="15" borderId="19" xfId="0" applyFont="1" applyFill="1" applyBorder="1" applyAlignment="1" applyProtection="1">
      <alignment horizontal="center" vertical="center" wrapText="1"/>
      <protection hidden="1"/>
    </xf>
    <xf numFmtId="0" fontId="0" fillId="16" borderId="18" xfId="0" applyFont="1" applyFill="1" applyBorder="1" applyAlignment="1" applyProtection="1">
      <alignment horizontal="center" vertical="center" wrapText="1"/>
      <protection hidden="1"/>
    </xf>
    <xf numFmtId="0" fontId="0" fillId="11" borderId="4" xfId="0" applyFont="1" applyFill="1" applyBorder="1" applyAlignment="1" applyProtection="1">
      <alignment horizontal="center" vertical="center" wrapText="1"/>
      <protection hidden="1"/>
    </xf>
    <xf numFmtId="0" fontId="7" fillId="17" borderId="27" xfId="0" applyFont="1" applyFill="1" applyBorder="1" applyAlignment="1" applyProtection="1">
      <alignment horizontal="center" vertical="center"/>
      <protection hidden="1"/>
    </xf>
    <xf numFmtId="0" fontId="7" fillId="16" borderId="2" xfId="0" applyFont="1" applyFill="1" applyBorder="1" applyAlignment="1" applyProtection="1">
      <alignment horizontal="center" vertical="center"/>
      <protection hidden="1"/>
    </xf>
    <xf numFmtId="0" fontId="7" fillId="18" borderId="2" xfId="0" applyFont="1" applyFill="1" applyBorder="1" applyAlignment="1" applyProtection="1">
      <alignment horizontal="center" vertical="center"/>
      <protection hidden="1"/>
    </xf>
    <xf numFmtId="0" fontId="7" fillId="14" borderId="1" xfId="0" applyFont="1" applyFill="1" applyBorder="1" applyAlignment="1" applyProtection="1">
      <alignment horizontal="center" vertical="center"/>
      <protection hidden="1"/>
    </xf>
    <xf numFmtId="0" fontId="7" fillId="16" borderId="3" xfId="0" applyFont="1" applyFill="1" applyBorder="1" applyAlignment="1" applyProtection="1">
      <alignment horizontal="center" vertical="center"/>
      <protection hidden="1"/>
    </xf>
    <xf numFmtId="0" fontId="7" fillId="4" borderId="3" xfId="0" applyFont="1" applyFill="1" applyBorder="1" applyAlignment="1" applyProtection="1">
      <alignment horizontal="center" vertical="center"/>
      <protection hidden="1"/>
    </xf>
    <xf numFmtId="0" fontId="8" fillId="19" borderId="15" xfId="0" applyFont="1" applyFill="1" applyBorder="1" applyAlignment="1" applyProtection="1">
      <alignment horizontal="center" vertical="center"/>
      <protection hidden="1"/>
    </xf>
    <xf numFmtId="0" fontId="0" fillId="20" borderId="29" xfId="0" applyFont="1" applyFill="1" applyBorder="1" applyAlignment="1" applyProtection="1">
      <alignment horizontal="center" vertical="center"/>
      <protection hidden="1"/>
    </xf>
    <xf numFmtId="0" fontId="16" fillId="20" borderId="28" xfId="0" applyFont="1" applyFill="1" applyBorder="1" applyProtection="1">
      <protection hidden="1"/>
    </xf>
    <xf numFmtId="0" fontId="10" fillId="12" borderId="21" xfId="0" applyFont="1" applyFill="1" applyBorder="1" applyAlignment="1" applyProtection="1">
      <alignment horizontal="center" vertical="center"/>
      <protection hidden="1"/>
    </xf>
    <xf numFmtId="0" fontId="0" fillId="13" borderId="29" xfId="0" applyFont="1" applyFill="1" applyBorder="1" applyAlignment="1" applyProtection="1">
      <alignment horizontal="center" vertical="center"/>
      <protection hidden="1"/>
    </xf>
    <xf numFmtId="0" fontId="0" fillId="15" borderId="28" xfId="0" applyFont="1" applyFill="1" applyBorder="1" applyAlignment="1" applyProtection="1">
      <alignment horizontal="center" vertical="center"/>
      <protection hidden="1"/>
    </xf>
    <xf numFmtId="0" fontId="10" fillId="19" borderId="40" xfId="0" applyFont="1" applyFill="1" applyBorder="1" applyAlignment="1" applyProtection="1">
      <alignment horizontal="center" vertical="center"/>
      <protection hidden="1"/>
    </xf>
    <xf numFmtId="0" fontId="0" fillId="19" borderId="3" xfId="0" applyFont="1" applyFill="1" applyBorder="1" applyAlignment="1" applyProtection="1">
      <alignment horizontal="center" vertical="center"/>
      <protection hidden="1"/>
    </xf>
    <xf numFmtId="0" fontId="0" fillId="16" borderId="2" xfId="0" applyFont="1" applyFill="1" applyBorder="1" applyAlignment="1" applyProtection="1">
      <alignment horizontal="center" vertical="center"/>
      <protection hidden="1"/>
    </xf>
    <xf numFmtId="0" fontId="0" fillId="21" borderId="33" xfId="0" applyFont="1" applyFill="1" applyBorder="1" applyAlignment="1" applyProtection="1">
      <alignment horizontal="center" vertical="center"/>
      <protection hidden="1"/>
    </xf>
    <xf numFmtId="0" fontId="8" fillId="22" borderId="7" xfId="0" applyFont="1" applyFill="1" applyBorder="1" applyAlignment="1" applyProtection="1">
      <alignment horizontal="center" vertical="center"/>
      <protection hidden="1"/>
    </xf>
    <xf numFmtId="0" fontId="8" fillId="16" borderId="19" xfId="0" applyFont="1" applyFill="1" applyBorder="1" applyAlignment="1" applyProtection="1">
      <alignment horizontal="center" vertical="center"/>
      <protection hidden="1"/>
    </xf>
    <xf numFmtId="0" fontId="17" fillId="23" borderId="32" xfId="0" applyFont="1" applyFill="1" applyBorder="1" applyAlignment="1" applyProtection="1">
      <alignment horizontal="center" vertical="center"/>
      <protection hidden="1"/>
    </xf>
    <xf numFmtId="0" fontId="8" fillId="5" borderId="7" xfId="0" applyFont="1" applyFill="1" applyBorder="1" applyAlignment="1" applyProtection="1">
      <alignment horizontal="center" vertical="center"/>
      <protection hidden="1"/>
    </xf>
    <xf numFmtId="0" fontId="8" fillId="5" borderId="1" xfId="0" applyFont="1" applyFill="1" applyBorder="1" applyAlignment="1" applyProtection="1">
      <alignment horizontal="center" vertical="center"/>
      <protection hidden="1"/>
    </xf>
    <xf numFmtId="0" fontId="8" fillId="18" borderId="3" xfId="0" applyFont="1" applyFill="1" applyBorder="1" applyAlignment="1" applyProtection="1">
      <alignment horizontal="center" vertical="center"/>
      <protection hidden="1"/>
    </xf>
    <xf numFmtId="0" fontId="8" fillId="18" borderId="5" xfId="0" applyFont="1" applyFill="1" applyBorder="1" applyAlignment="1" applyProtection="1">
      <alignment horizontal="center" vertical="center"/>
      <protection hidden="1"/>
    </xf>
    <xf numFmtId="0" fontId="0" fillId="24" borderId="27" xfId="0" applyFont="1" applyFill="1" applyBorder="1" applyAlignment="1" applyProtection="1">
      <alignment horizontal="center" vertical="center"/>
      <protection hidden="1"/>
    </xf>
    <xf numFmtId="0" fontId="0" fillId="24" borderId="12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 wrapText="1"/>
      <protection hidden="1"/>
    </xf>
    <xf numFmtId="0" fontId="0" fillId="0" borderId="36" xfId="0" applyFont="1" applyFill="1" applyBorder="1" applyAlignment="1" applyProtection="1">
      <alignment horizontal="center" vertical="center" wrapText="1"/>
      <protection hidden="1"/>
    </xf>
    <xf numFmtId="0" fontId="0" fillId="0" borderId="64" xfId="0" applyFont="1" applyFill="1" applyBorder="1" applyAlignment="1" applyProtection="1">
      <alignment horizontal="center" vertical="center" wrapText="1"/>
      <protection hidden="1"/>
    </xf>
    <xf numFmtId="0" fontId="0" fillId="0" borderId="62" xfId="0" applyFill="1" applyBorder="1" applyProtection="1">
      <protection hidden="1"/>
    </xf>
    <xf numFmtId="0" fontId="0" fillId="0" borderId="37" xfId="0" applyFill="1" applyBorder="1" applyProtection="1">
      <protection hidden="1"/>
    </xf>
    <xf numFmtId="0" fontId="0" fillId="0" borderId="38" xfId="0" applyFill="1" applyBorder="1" applyProtection="1">
      <protection hidden="1"/>
    </xf>
    <xf numFmtId="0" fontId="0" fillId="0" borderId="7" xfId="0" applyFont="1" applyFill="1" applyBorder="1" applyAlignment="1" applyProtection="1">
      <alignment horizontal="center" vertical="center" wrapText="1"/>
      <protection hidden="1"/>
    </xf>
    <xf numFmtId="0" fontId="0" fillId="0" borderId="50" xfId="0" applyFont="1" applyFill="1" applyBorder="1" applyAlignment="1" applyProtection="1">
      <alignment horizontal="center" vertical="center" wrapText="1"/>
      <protection hidden="1"/>
    </xf>
    <xf numFmtId="0" fontId="0" fillId="0" borderId="21" xfId="0" applyFont="1" applyFill="1" applyBorder="1" applyAlignment="1" applyProtection="1">
      <alignment horizontal="center" vertical="center" wrapText="1"/>
      <protection hidden="1"/>
    </xf>
    <xf numFmtId="0" fontId="0" fillId="0" borderId="23" xfId="0" applyFont="1" applyFill="1" applyBorder="1" applyAlignment="1" applyProtection="1">
      <alignment horizontal="center" vertical="center" wrapText="1"/>
      <protection hidden="1"/>
    </xf>
    <xf numFmtId="0" fontId="0" fillId="0" borderId="29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protection hidden="1"/>
    </xf>
    <xf numFmtId="0" fontId="19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20" fillId="0" borderId="0" xfId="0" applyFont="1" applyAlignment="1" applyProtection="1">
      <protection hidden="1"/>
    </xf>
    <xf numFmtId="0" fontId="0" fillId="0" borderId="15" xfId="0" applyFont="1" applyFill="1" applyBorder="1" applyAlignment="1" applyProtection="1">
      <alignment horizontal="center" vertical="center"/>
      <protection hidden="1"/>
    </xf>
    <xf numFmtId="0" fontId="0" fillId="0" borderId="15" xfId="0" applyFont="1" applyFill="1" applyBorder="1" applyAlignment="1" applyProtection="1">
      <alignment horizontal="center" vertical="center" wrapText="1"/>
      <protection hidden="1"/>
    </xf>
    <xf numFmtId="0" fontId="13" fillId="0" borderId="15" xfId="0" applyFont="1" applyFill="1" applyBorder="1" applyAlignment="1" applyProtection="1">
      <alignment horizontal="center" vertical="center"/>
      <protection hidden="1"/>
    </xf>
    <xf numFmtId="0" fontId="6" fillId="0" borderId="15" xfId="1" applyFont="1" applyFill="1" applyBorder="1" applyAlignment="1" applyProtection="1">
      <alignment horizontal="center" vertical="center"/>
      <protection hidden="1"/>
    </xf>
    <xf numFmtId="3" fontId="8" fillId="0" borderId="15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Border="1" applyAlignment="1" applyProtection="1">
      <alignment vertical="top"/>
      <protection hidden="1"/>
    </xf>
    <xf numFmtId="0" fontId="21" fillId="0" borderId="6" xfId="0" applyFont="1" applyBorder="1" applyAlignment="1" applyProtection="1">
      <alignment vertical="top"/>
      <protection hidden="1"/>
    </xf>
    <xf numFmtId="0" fontId="21" fillId="0" borderId="0" xfId="0" applyFont="1" applyAlignment="1" applyProtection="1">
      <alignment vertical="top"/>
      <protection hidden="1"/>
    </xf>
    <xf numFmtId="1" fontId="21" fillId="0" borderId="0" xfId="0" applyNumberFormat="1" applyFont="1" applyAlignment="1" applyProtection="1">
      <alignment horizontal="center" vertical="top"/>
      <protection hidden="1"/>
    </xf>
    <xf numFmtId="0" fontId="0" fillId="0" borderId="39" xfId="0" applyFill="1" applyBorder="1" applyProtection="1">
      <protection hidden="1"/>
    </xf>
    <xf numFmtId="0" fontId="21" fillId="0" borderId="0" xfId="0" applyFont="1" applyBorder="1" applyAlignment="1" applyProtection="1">
      <alignment horizontal="center" vertical="top"/>
      <protection hidden="1"/>
    </xf>
    <xf numFmtId="0" fontId="0" fillId="4" borderId="19" xfId="0" applyFont="1" applyFill="1" applyBorder="1" applyAlignment="1" applyProtection="1">
      <alignment horizontal="center" vertical="center"/>
      <protection hidden="1"/>
    </xf>
    <xf numFmtId="0" fontId="0" fillId="4" borderId="18" xfId="0" applyFont="1" applyFill="1" applyBorder="1" applyAlignment="1" applyProtection="1">
      <alignment horizontal="center" vertical="center"/>
      <protection hidden="1"/>
    </xf>
    <xf numFmtId="0" fontId="6" fillId="3" borderId="2" xfId="1" applyFont="1" applyFill="1" applyBorder="1" applyAlignment="1" applyProtection="1">
      <alignment horizontal="center" vertical="center" wrapText="1"/>
      <protection hidden="1"/>
    </xf>
    <xf numFmtId="0" fontId="0" fillId="3" borderId="11" xfId="0" applyFont="1" applyFill="1" applyBorder="1" applyAlignment="1">
      <alignment horizontal="center" vertical="center"/>
    </xf>
    <xf numFmtId="3" fontId="8" fillId="4" borderId="46" xfId="0" applyNumberFormat="1" applyFont="1" applyFill="1" applyBorder="1" applyAlignment="1" applyProtection="1">
      <alignment horizontal="center" vertical="center"/>
      <protection hidden="1"/>
    </xf>
    <xf numFmtId="3" fontId="8" fillId="4" borderId="47" xfId="0" applyNumberFormat="1" applyFont="1" applyFill="1" applyBorder="1" applyAlignment="1" applyProtection="1">
      <alignment horizontal="center" vertical="center"/>
      <protection hidden="1"/>
    </xf>
    <xf numFmtId="0" fontId="13" fillId="4" borderId="9" xfId="0" applyFont="1" applyFill="1" applyBorder="1" applyAlignment="1" applyProtection="1">
      <alignment vertical="center" wrapText="1"/>
      <protection hidden="1"/>
    </xf>
    <xf numFmtId="0" fontId="8" fillId="5" borderId="2" xfId="0" applyFont="1" applyFill="1" applyBorder="1" applyAlignment="1" applyProtection="1">
      <alignment horizontal="center" vertical="center"/>
      <protection hidden="1"/>
    </xf>
    <xf numFmtId="0" fontId="8" fillId="5" borderId="3" xfId="0" applyFont="1" applyFill="1" applyBorder="1" applyAlignment="1" applyProtection="1">
      <alignment horizontal="center" vertical="center"/>
      <protection hidden="1"/>
    </xf>
    <xf numFmtId="0" fontId="7" fillId="8" borderId="1" xfId="0" applyFont="1" applyFill="1" applyBorder="1" applyAlignment="1" applyProtection="1">
      <alignment horizontal="center" vertical="center"/>
      <protection hidden="1"/>
    </xf>
    <xf numFmtId="1" fontId="8" fillId="4" borderId="30" xfId="0" applyNumberFormat="1" applyFont="1" applyFill="1" applyBorder="1" applyAlignment="1" applyProtection="1">
      <alignment horizontal="center" vertical="center"/>
      <protection hidden="1"/>
    </xf>
    <xf numFmtId="0" fontId="7" fillId="4" borderId="5" xfId="0" applyFont="1" applyFill="1" applyBorder="1" applyAlignment="1" applyProtection="1">
      <alignment horizontal="center" vertical="center"/>
      <protection hidden="1"/>
    </xf>
    <xf numFmtId="0" fontId="7" fillId="4" borderId="9" xfId="0" applyFont="1" applyFill="1" applyBorder="1" applyAlignment="1" applyProtection="1">
      <alignment horizontal="center" vertical="center"/>
      <protection hidden="1"/>
    </xf>
    <xf numFmtId="0" fontId="0" fillId="4" borderId="32" xfId="0" applyFont="1" applyFill="1" applyBorder="1" applyAlignment="1" applyProtection="1">
      <alignment horizontal="center" vertical="center" wrapText="1"/>
      <protection hidden="1"/>
    </xf>
    <xf numFmtId="0" fontId="0" fillId="7" borderId="31" xfId="0" applyFont="1" applyFill="1" applyBorder="1" applyAlignment="1" applyProtection="1">
      <alignment horizontal="center" vertical="center" wrapText="1"/>
      <protection hidden="1"/>
    </xf>
    <xf numFmtId="0" fontId="0" fillId="4" borderId="0" xfId="0" applyFont="1" applyFill="1" applyBorder="1" applyAlignment="1" applyProtection="1">
      <alignment horizontal="center" vertical="center" wrapText="1"/>
      <protection hidden="1"/>
    </xf>
    <xf numFmtId="0" fontId="13" fillId="4" borderId="46" xfId="0" applyFont="1" applyFill="1" applyBorder="1" applyAlignment="1" applyProtection="1">
      <alignment horizontal="center" vertical="center" wrapText="1"/>
      <protection hidden="1"/>
    </xf>
    <xf numFmtId="0" fontId="0" fillId="4" borderId="2" xfId="0" applyFont="1" applyFill="1" applyBorder="1" applyAlignment="1">
      <alignment horizontal="center" vertical="center" wrapText="1"/>
    </xf>
    <xf numFmtId="0" fontId="25" fillId="0" borderId="15" xfId="0" applyFont="1" applyBorder="1" applyAlignment="1">
      <alignment vertical="center" wrapText="1"/>
    </xf>
    <xf numFmtId="0" fontId="11" fillId="4" borderId="4" xfId="0" applyFont="1" applyFill="1" applyBorder="1" applyAlignment="1" applyProtection="1">
      <alignment horizontal="center" vertical="center" wrapText="1"/>
      <protection hidden="1"/>
    </xf>
    <xf numFmtId="9" fontId="6" fillId="0" borderId="0" xfId="2" applyNumberFormat="1" applyFont="1" applyProtection="1">
      <protection hidden="1"/>
    </xf>
    <xf numFmtId="164" fontId="0" fillId="3" borderId="64" xfId="0" applyNumberFormat="1" applyFill="1" applyBorder="1" applyAlignment="1" applyProtection="1">
      <alignment horizontal="center" vertical="center"/>
      <protection hidden="1"/>
    </xf>
    <xf numFmtId="164" fontId="0" fillId="3" borderId="93" xfId="0" applyNumberFormat="1" applyFill="1" applyBorder="1" applyAlignment="1" applyProtection="1">
      <alignment horizontal="center" vertical="center"/>
      <protection hidden="1"/>
    </xf>
    <xf numFmtId="164" fontId="0" fillId="3" borderId="88" xfId="0" applyNumberFormat="1" applyFill="1" applyBorder="1" applyAlignment="1" applyProtection="1">
      <alignment horizontal="center" vertical="center"/>
      <protection hidden="1"/>
    </xf>
    <xf numFmtId="164" fontId="0" fillId="3" borderId="86" xfId="0" applyNumberFormat="1" applyFill="1" applyBorder="1" applyAlignment="1" applyProtection="1">
      <alignment horizontal="center" vertical="center"/>
      <protection hidden="1"/>
    </xf>
    <xf numFmtId="3" fontId="0" fillId="3" borderId="26" xfId="0" applyNumberFormat="1" applyFill="1" applyBorder="1" applyAlignment="1" applyProtection="1">
      <alignment horizontal="center" vertical="center"/>
      <protection hidden="1"/>
    </xf>
    <xf numFmtId="3" fontId="0" fillId="3" borderId="53" xfId="0" applyNumberFormat="1" applyFill="1" applyBorder="1" applyAlignment="1" applyProtection="1">
      <alignment horizontal="center" vertical="center"/>
      <protection hidden="1"/>
    </xf>
    <xf numFmtId="1" fontId="8" fillId="4" borderId="3" xfId="0" applyNumberFormat="1" applyFont="1" applyFill="1" applyBorder="1" applyAlignment="1" applyProtection="1">
      <alignment horizontal="center" vertical="center"/>
      <protection hidden="1"/>
    </xf>
    <xf numFmtId="0" fontId="0" fillId="5" borderId="0" xfId="0" applyFill="1" applyProtection="1">
      <protection hidden="1"/>
    </xf>
    <xf numFmtId="0" fontId="0" fillId="3" borderId="25" xfId="0" applyFill="1" applyBorder="1" applyProtection="1">
      <protection hidden="1"/>
    </xf>
    <xf numFmtId="0" fontId="7" fillId="14" borderId="12" xfId="0" applyFont="1" applyFill="1" applyBorder="1" applyAlignment="1" applyProtection="1">
      <alignment horizontal="center" vertical="center"/>
      <protection hidden="1"/>
    </xf>
    <xf numFmtId="0" fontId="0" fillId="4" borderId="57" xfId="0" applyFont="1" applyFill="1" applyBorder="1" applyAlignment="1" applyProtection="1">
      <alignment horizontal="center" vertical="center"/>
      <protection hidden="1"/>
    </xf>
    <xf numFmtId="0" fontId="0" fillId="4" borderId="30" xfId="0" applyFont="1" applyFill="1" applyBorder="1" applyAlignment="1" applyProtection="1">
      <alignment horizontal="center" vertical="center"/>
      <protection hidden="1"/>
    </xf>
    <xf numFmtId="1" fontId="8" fillId="4" borderId="0" xfId="0" applyNumberFormat="1" applyFont="1" applyFill="1" applyBorder="1" applyAlignment="1" applyProtection="1">
      <alignment horizontal="center" vertical="center"/>
      <protection hidden="1"/>
    </xf>
    <xf numFmtId="0" fontId="13" fillId="4" borderId="40" xfId="0" applyFont="1" applyFill="1" applyBorder="1" applyAlignment="1" applyProtection="1">
      <alignment horizontal="center" vertical="center"/>
      <protection hidden="1"/>
    </xf>
    <xf numFmtId="0" fontId="0" fillId="3" borderId="12" xfId="0" applyFont="1" applyFill="1" applyBorder="1" applyAlignment="1" applyProtection="1">
      <alignment horizontal="center" vertical="center" wrapText="1"/>
      <protection hidden="1"/>
    </xf>
    <xf numFmtId="0" fontId="6" fillId="3" borderId="12" xfId="1" applyFont="1" applyFill="1" applyBorder="1" applyAlignment="1" applyProtection="1">
      <alignment horizontal="center" vertical="center" wrapText="1"/>
      <protection hidden="1"/>
    </xf>
    <xf numFmtId="0" fontId="6" fillId="3" borderId="5" xfId="1" applyFont="1" applyFill="1" applyBorder="1" applyAlignment="1" applyProtection="1">
      <alignment horizontal="center" vertical="center" wrapText="1"/>
      <protection hidden="1"/>
    </xf>
    <xf numFmtId="0" fontId="0" fillId="3" borderId="5" xfId="0" applyFont="1" applyFill="1" applyBorder="1" applyAlignment="1">
      <alignment horizontal="center" vertical="center"/>
    </xf>
    <xf numFmtId="0" fontId="0" fillId="3" borderId="40" xfId="0" applyFont="1" applyFill="1" applyBorder="1" applyAlignment="1" applyProtection="1">
      <alignment horizontal="center" vertical="center" wrapText="1"/>
      <protection hidden="1"/>
    </xf>
    <xf numFmtId="0" fontId="0" fillId="3" borderId="31" xfId="0" applyFont="1" applyFill="1" applyBorder="1" applyAlignment="1" applyProtection="1">
      <alignment horizontal="center" vertical="center" wrapText="1"/>
      <protection hidden="1"/>
    </xf>
    <xf numFmtId="0" fontId="0" fillId="3" borderId="9" xfId="0" applyFont="1" applyFill="1" applyBorder="1" applyAlignment="1" applyProtection="1">
      <alignment horizontal="center" vertical="center" wrapText="1"/>
      <protection hidden="1"/>
    </xf>
    <xf numFmtId="0" fontId="8" fillId="5" borderId="15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10" fillId="25" borderId="1" xfId="0" applyFont="1" applyFill="1" applyBorder="1" applyAlignment="1" applyProtection="1">
      <alignment horizontal="center" vertical="center"/>
      <protection hidden="1"/>
    </xf>
    <xf numFmtId="0" fontId="10" fillId="25" borderId="3" xfId="0" applyFont="1" applyFill="1" applyBorder="1" applyAlignment="1" applyProtection="1">
      <alignment horizontal="center" vertical="center"/>
      <protection hidden="1"/>
    </xf>
    <xf numFmtId="0" fontId="0" fillId="4" borderId="46" xfId="0" applyFont="1" applyFill="1" applyBorder="1" applyAlignment="1" applyProtection="1">
      <alignment horizontal="center" vertical="center"/>
      <protection hidden="1"/>
    </xf>
    <xf numFmtId="0" fontId="0" fillId="4" borderId="48" xfId="0" applyFont="1" applyFill="1" applyBorder="1" applyAlignment="1" applyProtection="1">
      <alignment horizontal="center" vertical="center"/>
      <protection hidden="1"/>
    </xf>
    <xf numFmtId="0" fontId="0" fillId="4" borderId="50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/>
      <protection hidden="1"/>
    </xf>
    <xf numFmtId="0" fontId="8" fillId="3" borderId="19" xfId="0" applyFont="1" applyFill="1" applyBorder="1" applyAlignment="1" applyProtection="1">
      <alignment horizontal="center" vertical="center"/>
      <protection hidden="1"/>
    </xf>
    <xf numFmtId="0" fontId="8" fillId="3" borderId="32" xfId="0" applyFont="1" applyFill="1" applyBorder="1" applyAlignment="1" applyProtection="1">
      <alignment horizontal="center" vertical="center"/>
      <protection hidden="1"/>
    </xf>
    <xf numFmtId="0" fontId="8" fillId="3" borderId="18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8" fillId="0" borderId="7" xfId="0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44" xfId="0" applyFont="1" applyFill="1" applyBorder="1" applyAlignment="1" applyProtection="1">
      <alignment horizontal="center" vertical="center"/>
      <protection hidden="1"/>
    </xf>
    <xf numFmtId="0" fontId="0" fillId="3" borderId="32" xfId="0" applyFont="1" applyFill="1" applyBorder="1" applyAlignment="1" applyProtection="1">
      <alignment horizontal="center" vertical="center"/>
      <protection hidden="1"/>
    </xf>
    <xf numFmtId="0" fontId="0" fillId="3" borderId="43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Protection="1">
      <protection hidden="1"/>
    </xf>
    <xf numFmtId="0" fontId="0" fillId="3" borderId="3" xfId="0" applyFont="1" applyFill="1" applyBorder="1" applyProtection="1">
      <protection hidden="1"/>
    </xf>
    <xf numFmtId="0" fontId="8" fillId="3" borderId="50" xfId="0" applyFont="1" applyFill="1" applyBorder="1" applyAlignment="1" applyProtection="1">
      <alignment horizontal="center" vertical="center"/>
      <protection hidden="1"/>
    </xf>
    <xf numFmtId="0" fontId="0" fillId="3" borderId="23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 wrapText="1"/>
      <protection hidden="1"/>
    </xf>
    <xf numFmtId="0" fontId="0" fillId="4" borderId="12" xfId="0" applyFont="1" applyFill="1" applyBorder="1" applyAlignment="1" applyProtection="1">
      <alignment horizontal="center" vertical="center" wrapText="1"/>
      <protection hidden="1"/>
    </xf>
    <xf numFmtId="0" fontId="21" fillId="10" borderId="41" xfId="0" applyFont="1" applyFill="1" applyBorder="1" applyAlignment="1" applyProtection="1">
      <alignment horizontal="center" vertical="center"/>
      <protection hidden="1"/>
    </xf>
    <xf numFmtId="0" fontId="21" fillId="10" borderId="15" xfId="0" applyFont="1" applyFill="1" applyBorder="1" applyAlignment="1" applyProtection="1">
      <alignment horizontal="center" vertical="center"/>
      <protection hidden="1"/>
    </xf>
    <xf numFmtId="0" fontId="21" fillId="10" borderId="49" xfId="0" applyFont="1" applyFill="1" applyBorder="1" applyAlignment="1" applyProtection="1">
      <alignment horizontal="center" vertical="center"/>
      <protection hidden="1"/>
    </xf>
    <xf numFmtId="0" fontId="0" fillId="3" borderId="40" xfId="0" applyFont="1" applyFill="1" applyBorder="1" applyAlignment="1" applyProtection="1">
      <alignment horizontal="center" vertical="center"/>
      <protection hidden="1"/>
    </xf>
    <xf numFmtId="0" fontId="0" fillId="3" borderId="31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52" xfId="0" applyFont="1" applyFill="1" applyBorder="1" applyAlignment="1" applyProtection="1">
      <alignment horizontal="center" vertical="center"/>
      <protection hidden="1"/>
    </xf>
    <xf numFmtId="0" fontId="0" fillId="3" borderId="10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15" fillId="10" borderId="7" xfId="0" applyFont="1" applyFill="1" applyBorder="1" applyAlignment="1" applyProtection="1">
      <alignment horizontal="center" vertical="center"/>
      <protection hidden="1"/>
    </xf>
    <xf numFmtId="0" fontId="15" fillId="10" borderId="4" xfId="0" applyFont="1" applyFill="1" applyBorder="1" applyAlignment="1" applyProtection="1">
      <alignment horizontal="center" vertical="center"/>
      <protection hidden="1"/>
    </xf>
    <xf numFmtId="0" fontId="8" fillId="3" borderId="40" xfId="0" applyFont="1" applyFill="1" applyBorder="1" applyAlignment="1" applyProtection="1">
      <alignment horizontal="center" vertical="center"/>
      <protection hidden="1"/>
    </xf>
    <xf numFmtId="0" fontId="8" fillId="3" borderId="31" xfId="0" applyFont="1" applyFill="1" applyBorder="1" applyAlignment="1" applyProtection="1">
      <alignment horizontal="center" vertical="center"/>
      <protection hidden="1"/>
    </xf>
    <xf numFmtId="0" fontId="8" fillId="3" borderId="9" xfId="0" applyFont="1" applyFill="1" applyBorder="1" applyAlignment="1" applyProtection="1">
      <alignment horizontal="center" vertical="center"/>
      <protection hidden="1"/>
    </xf>
    <xf numFmtId="0" fontId="8" fillId="0" borderId="7" xfId="0" applyFont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horizontal="center" vertical="center"/>
      <protection hidden="1"/>
    </xf>
    <xf numFmtId="0" fontId="0" fillId="3" borderId="66" xfId="0" applyFont="1" applyFill="1" applyBorder="1" applyAlignment="1" applyProtection="1">
      <alignment horizontal="center" vertical="center"/>
      <protection hidden="1"/>
    </xf>
    <xf numFmtId="0" fontId="0" fillId="3" borderId="60" xfId="0" applyFont="1" applyFill="1" applyBorder="1" applyAlignment="1" applyProtection="1">
      <alignment horizontal="center" vertical="center"/>
      <protection hidden="1"/>
    </xf>
    <xf numFmtId="0" fontId="0" fillId="3" borderId="35" xfId="0" applyFont="1" applyFill="1" applyBorder="1" applyAlignment="1" applyProtection="1">
      <alignment horizontal="center" vertical="center"/>
      <protection hidden="1"/>
    </xf>
    <xf numFmtId="0" fontId="6" fillId="3" borderId="40" xfId="1" applyFont="1" applyFill="1" applyBorder="1" applyAlignment="1" applyProtection="1">
      <alignment horizontal="center" vertical="center"/>
      <protection hidden="1"/>
    </xf>
    <xf numFmtId="0" fontId="6" fillId="3" borderId="9" xfId="1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 applyProtection="1">
      <alignment horizontal="center" vertical="center"/>
      <protection hidden="1"/>
    </xf>
    <xf numFmtId="0" fontId="0" fillId="3" borderId="27" xfId="0" applyFont="1" applyFill="1" applyBorder="1" applyAlignment="1" applyProtection="1">
      <alignment horizontal="center" vertical="center"/>
      <protection hidden="1"/>
    </xf>
    <xf numFmtId="0" fontId="0" fillId="0" borderId="4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27" xfId="0" applyFont="1" applyFill="1" applyBorder="1" applyAlignment="1" applyProtection="1">
      <alignment horizontal="center" vertical="center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8" fillId="0" borderId="41" xfId="0" applyFont="1" applyFill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center" vertical="center"/>
      <protection hidden="1"/>
    </xf>
    <xf numFmtId="0" fontId="0" fillId="3" borderId="70" xfId="0" applyFont="1" applyFill="1" applyBorder="1" applyAlignment="1" applyProtection="1">
      <alignment horizontal="center" vertical="center"/>
      <protection hidden="1"/>
    </xf>
    <xf numFmtId="0" fontId="0" fillId="3" borderId="71" xfId="0" applyFont="1" applyFill="1" applyBorder="1" applyAlignment="1" applyProtection="1">
      <alignment horizontal="center" vertical="center"/>
      <protection hidden="1"/>
    </xf>
    <xf numFmtId="0" fontId="0" fillId="3" borderId="65" xfId="0" applyFont="1" applyFill="1" applyBorder="1" applyAlignment="1" applyProtection="1">
      <alignment horizontal="center" vertical="center"/>
      <protection hidden="1"/>
    </xf>
    <xf numFmtId="0" fontId="0" fillId="3" borderId="62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3" borderId="87" xfId="0" applyFont="1" applyFill="1" applyBorder="1" applyAlignment="1" applyProtection="1">
      <alignment horizontal="center" vertical="center"/>
      <protection hidden="1"/>
    </xf>
    <xf numFmtId="0" fontId="0" fillId="3" borderId="56" xfId="0" applyFont="1" applyFill="1" applyBorder="1" applyAlignment="1" applyProtection="1">
      <alignment horizontal="center" vertical="center"/>
      <protection hidden="1"/>
    </xf>
    <xf numFmtId="0" fontId="0" fillId="3" borderId="45" xfId="0" applyFont="1" applyFill="1" applyBorder="1" applyAlignment="1" applyProtection="1">
      <alignment horizontal="center" vertical="center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53" xfId="0" applyFont="1" applyFill="1" applyBorder="1" applyAlignment="1" applyProtection="1">
      <alignment horizontal="center" vertical="center"/>
      <protection hidden="1"/>
    </xf>
    <xf numFmtId="0" fontId="0" fillId="3" borderId="11" xfId="0" applyFont="1" applyFill="1" applyBorder="1" applyAlignment="1" applyProtection="1">
      <alignment horizontal="center" vertical="center"/>
      <protection hidden="1"/>
    </xf>
    <xf numFmtId="0" fontId="0" fillId="3" borderId="14" xfId="0" applyFont="1" applyFill="1" applyBorder="1" applyAlignment="1" applyProtection="1">
      <alignment horizontal="center" vertical="center"/>
      <protection hidden="1"/>
    </xf>
    <xf numFmtId="0" fontId="0" fillId="3" borderId="49" xfId="0" applyFont="1" applyFill="1" applyBorder="1" applyAlignment="1" applyProtection="1">
      <alignment horizontal="center" vertical="center"/>
      <protection hidden="1"/>
    </xf>
    <xf numFmtId="0" fontId="0" fillId="3" borderId="6" xfId="0" applyFont="1" applyFill="1" applyBorder="1" applyAlignment="1" applyProtection="1">
      <alignment horizontal="center" vertical="center"/>
      <protection hidden="1"/>
    </xf>
    <xf numFmtId="0" fontId="0" fillId="3" borderId="34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57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3" borderId="40" xfId="0" applyFill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center" vertical="center"/>
      <protection hidden="1"/>
    </xf>
    <xf numFmtId="0" fontId="0" fillId="3" borderId="9" xfId="0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 wrapText="1"/>
      <protection hidden="1"/>
    </xf>
    <xf numFmtId="0" fontId="0" fillId="3" borderId="32" xfId="0" applyFont="1" applyFill="1" applyBorder="1" applyAlignment="1" applyProtection="1">
      <alignment horizontal="center" vertical="center" wrapText="1"/>
      <protection hidden="1"/>
    </xf>
    <xf numFmtId="0" fontId="0" fillId="3" borderId="18" xfId="0" applyFont="1" applyFill="1" applyBorder="1" applyAlignment="1" applyProtection="1">
      <alignment horizontal="center" vertical="center" wrapText="1"/>
      <protection hidden="1"/>
    </xf>
    <xf numFmtId="0" fontId="8" fillId="0" borderId="30" xfId="0" applyFont="1" applyFill="1" applyBorder="1" applyAlignment="1" applyProtection="1">
      <alignment horizontal="center" vertical="center"/>
      <protection hidden="1"/>
    </xf>
    <xf numFmtId="0" fontId="0" fillId="4" borderId="28" xfId="0" applyFont="1" applyFill="1" applyBorder="1" applyAlignment="1" applyProtection="1">
      <alignment horizontal="center" vertical="center"/>
      <protection hidden="1"/>
    </xf>
    <xf numFmtId="0" fontId="0" fillId="4" borderId="29" xfId="0" applyFont="1" applyFill="1" applyBorder="1" applyAlignment="1" applyProtection="1">
      <alignment horizontal="center" vertical="center"/>
      <protection hidden="1"/>
    </xf>
    <xf numFmtId="0" fontId="11" fillId="4" borderId="40" xfId="0" applyFont="1" applyFill="1" applyBorder="1" applyAlignment="1" applyProtection="1">
      <alignment horizontal="center" vertical="center" wrapText="1"/>
      <protection hidden="1"/>
    </xf>
    <xf numFmtId="0" fontId="11" fillId="4" borderId="9" xfId="0" applyFont="1" applyFill="1" applyBorder="1" applyAlignment="1" applyProtection="1">
      <alignment horizontal="center" vertical="center" wrapText="1"/>
      <protection hidden="1"/>
    </xf>
    <xf numFmtId="0" fontId="0" fillId="7" borderId="40" xfId="0" applyFont="1" applyFill="1" applyBorder="1" applyAlignment="1" applyProtection="1">
      <alignment horizontal="center" vertical="center"/>
      <protection hidden="1"/>
    </xf>
    <xf numFmtId="0" fontId="0" fillId="7" borderId="31" xfId="0" applyFont="1" applyFill="1" applyBorder="1" applyAlignment="1" applyProtection="1">
      <alignment horizontal="center" vertical="center"/>
      <protection hidden="1"/>
    </xf>
    <xf numFmtId="0" fontId="11" fillId="4" borderId="31" xfId="0" applyFont="1" applyFill="1" applyBorder="1" applyAlignment="1" applyProtection="1">
      <alignment horizontal="center" vertical="center" wrapText="1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 wrapText="1"/>
      <protection hidden="1"/>
    </xf>
    <xf numFmtId="0" fontId="11" fillId="4" borderId="3" xfId="0" applyFont="1" applyFill="1" applyBorder="1" applyAlignment="1" applyProtection="1">
      <alignment horizontal="center" vertical="center" wrapText="1"/>
      <protection hidden="1"/>
    </xf>
    <xf numFmtId="0" fontId="11" fillId="4" borderId="41" xfId="0" applyFont="1" applyFill="1" applyBorder="1" applyAlignment="1" applyProtection="1">
      <alignment horizontal="center" vertical="center" wrapText="1"/>
      <protection hidden="1"/>
    </xf>
    <xf numFmtId="0" fontId="11" fillId="4" borderId="33" xfId="0" applyFont="1" applyFill="1" applyBorder="1" applyAlignment="1" applyProtection="1">
      <alignment horizontal="center" vertical="center" wrapText="1"/>
      <protection hidden="1"/>
    </xf>
    <xf numFmtId="0" fontId="8" fillId="3" borderId="41" xfId="0" applyFont="1" applyFill="1" applyBorder="1" applyAlignment="1" applyProtection="1">
      <alignment horizontal="center" vertical="center"/>
      <protection hidden="1"/>
    </xf>
    <xf numFmtId="0" fontId="8" fillId="3" borderId="57" xfId="0" applyFont="1" applyFill="1" applyBorder="1" applyAlignment="1" applyProtection="1">
      <alignment horizontal="center" vertical="center"/>
      <protection hidden="1"/>
    </xf>
    <xf numFmtId="0" fontId="8" fillId="3" borderId="33" xfId="0" applyFont="1" applyFill="1" applyBorder="1" applyAlignment="1" applyProtection="1">
      <alignment horizontal="center" vertical="center"/>
      <protection hidden="1"/>
    </xf>
    <xf numFmtId="0" fontId="11" fillId="4" borderId="19" xfId="0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center" vertical="center" wrapText="1"/>
      <protection hidden="1"/>
    </xf>
    <xf numFmtId="0" fontId="8" fillId="5" borderId="7" xfId="0" applyFont="1" applyFill="1" applyBorder="1" applyAlignment="1" applyProtection="1">
      <alignment horizontal="center" vertical="center"/>
      <protection hidden="1"/>
    </xf>
    <xf numFmtId="0" fontId="8" fillId="5" borderId="4" xfId="0" applyFont="1" applyFill="1" applyBorder="1" applyAlignment="1" applyProtection="1">
      <alignment horizontal="center" vertical="center"/>
      <protection hidden="1"/>
    </xf>
    <xf numFmtId="0" fontId="6" fillId="3" borderId="31" xfId="1" applyFont="1" applyFill="1" applyBorder="1" applyAlignment="1" applyProtection="1">
      <alignment horizontal="center" vertical="center"/>
      <protection hidden="1"/>
    </xf>
    <xf numFmtId="0" fontId="8" fillId="5" borderId="30" xfId="0" applyFont="1" applyFill="1" applyBorder="1" applyAlignment="1" applyProtection="1">
      <alignment horizontal="center" vertical="center"/>
      <protection hidden="1"/>
    </xf>
    <xf numFmtId="0" fontId="8" fillId="5" borderId="0" xfId="0" applyFont="1" applyFill="1" applyBorder="1" applyAlignment="1" applyProtection="1">
      <alignment horizontal="center" vertical="center"/>
      <protection hidden="1"/>
    </xf>
    <xf numFmtId="3" fontId="0" fillId="3" borderId="41" xfId="0" applyNumberFormat="1" applyFont="1" applyFill="1" applyBorder="1" applyAlignment="1" applyProtection="1">
      <alignment horizontal="center" vertical="center"/>
      <protection hidden="1"/>
    </xf>
    <xf numFmtId="3" fontId="0" fillId="3" borderId="57" xfId="0" applyNumberFormat="1" applyFont="1" applyFill="1" applyBorder="1" applyAlignment="1" applyProtection="1">
      <alignment horizontal="center" vertical="center"/>
      <protection hidden="1"/>
    </xf>
    <xf numFmtId="3" fontId="0" fillId="3" borderId="33" xfId="0" applyNumberFormat="1" applyFont="1" applyFill="1" applyBorder="1" applyAlignment="1" applyProtection="1">
      <alignment horizontal="center" vertical="center"/>
      <protection hidden="1"/>
    </xf>
    <xf numFmtId="164" fontId="0" fillId="3" borderId="28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1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9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41" xfId="0" applyFont="1" applyFill="1" applyBorder="1" applyAlignment="1">
      <alignment horizontal="center" vertical="center" wrapText="1"/>
    </xf>
    <xf numFmtId="0" fontId="0" fillId="3" borderId="57" xfId="0" applyFont="1" applyFill="1" applyBorder="1" applyAlignment="1">
      <alignment horizontal="center" vertical="center" wrapText="1"/>
    </xf>
    <xf numFmtId="0" fontId="0" fillId="3" borderId="33" xfId="0" applyFont="1" applyFill="1" applyBorder="1" applyAlignment="1">
      <alignment horizontal="center" vertical="center" wrapText="1"/>
    </xf>
    <xf numFmtId="164" fontId="0" fillId="3" borderId="19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18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74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76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" xfId="0" applyNumberFormat="1" applyFont="1" applyFill="1" applyBorder="1" applyAlignment="1" applyProtection="1">
      <alignment horizontal="center" vertical="center"/>
      <protection hidden="1"/>
    </xf>
    <xf numFmtId="3" fontId="0" fillId="3" borderId="3" xfId="0" applyNumberFormat="1" applyFont="1" applyFill="1" applyBorder="1" applyAlignment="1" applyProtection="1">
      <alignment horizontal="center" vertical="center"/>
      <protection hidden="1"/>
    </xf>
    <xf numFmtId="0" fontId="0" fillId="3" borderId="40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 wrapText="1"/>
    </xf>
    <xf numFmtId="0" fontId="0" fillId="4" borderId="12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0" fillId="15" borderId="2" xfId="0" applyFon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/>
      <protection hidden="1"/>
    </xf>
    <xf numFmtId="0" fontId="0" fillId="3" borderId="21" xfId="0" applyFont="1" applyFill="1" applyBorder="1" applyAlignment="1" applyProtection="1">
      <alignment horizontal="center" vertical="center"/>
      <protection hidden="1"/>
    </xf>
    <xf numFmtId="0" fontId="8" fillId="3" borderId="85" xfId="0" applyFont="1" applyFill="1" applyBorder="1" applyAlignment="1" applyProtection="1">
      <alignment horizontal="center" vertical="center"/>
      <protection hidden="1"/>
    </xf>
    <xf numFmtId="0" fontId="0" fillId="3" borderId="86" xfId="0" applyFont="1" applyFill="1" applyBorder="1" applyAlignment="1" applyProtection="1">
      <alignment horizontal="center" vertical="center"/>
      <protection hidden="1"/>
    </xf>
    <xf numFmtId="0" fontId="0" fillId="3" borderId="46" xfId="0" applyFont="1" applyFill="1" applyBorder="1" applyAlignment="1" applyProtection="1">
      <alignment horizontal="center" vertical="center" wrapText="1"/>
      <protection hidden="1"/>
    </xf>
    <xf numFmtId="0" fontId="0" fillId="3" borderId="61" xfId="0" applyFont="1" applyFill="1" applyBorder="1" applyAlignment="1" applyProtection="1">
      <alignment horizontal="center" vertical="center"/>
      <protection hidden="1"/>
    </xf>
    <xf numFmtId="0" fontId="0" fillId="3" borderId="47" xfId="0" applyFont="1" applyFill="1" applyBorder="1" applyAlignment="1" applyProtection="1">
      <alignment horizontal="center" vertical="center"/>
      <protection hidden="1"/>
    </xf>
    <xf numFmtId="0" fontId="0" fillId="3" borderId="84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/>
      <protection hidden="1"/>
    </xf>
    <xf numFmtId="0" fontId="0" fillId="7" borderId="3" xfId="0" applyFont="1" applyFill="1" applyBorder="1" applyAlignment="1" applyProtection="1">
      <alignment horizontal="center" vertical="center"/>
      <protection hidden="1"/>
    </xf>
    <xf numFmtId="0" fontId="0" fillId="3" borderId="43" xfId="0" applyFont="1" applyFill="1" applyBorder="1" applyAlignment="1" applyProtection="1">
      <alignment horizontal="center" vertical="center" wrapText="1"/>
      <protection hidden="1"/>
    </xf>
    <xf numFmtId="0" fontId="15" fillId="0" borderId="30" xfId="0" applyFont="1" applyBorder="1" applyAlignment="1" applyProtection="1">
      <alignment horizontal="left"/>
      <protection hidden="1"/>
    </xf>
    <xf numFmtId="0" fontId="8" fillId="0" borderId="64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60" xfId="0" applyFont="1" applyFill="1" applyBorder="1" applyAlignment="1">
      <alignment horizontal="center" vertical="center"/>
    </xf>
    <xf numFmtId="3" fontId="8" fillId="4" borderId="31" xfId="0" applyNumberFormat="1" applyFont="1" applyFill="1" applyBorder="1" applyAlignment="1" applyProtection="1">
      <alignment horizontal="center" vertical="center"/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3" fontId="0" fillId="3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40" xfId="0" applyNumberFormat="1" applyFont="1" applyFill="1" applyBorder="1" applyAlignment="1" applyProtection="1">
      <alignment horizontal="center" vertical="center"/>
      <protection hidden="1"/>
    </xf>
    <xf numFmtId="1" fontId="8" fillId="4" borderId="31" xfId="0" applyNumberFormat="1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3" borderId="6" xfId="0" applyFont="1" applyFill="1" applyBorder="1" applyAlignment="1" applyProtection="1">
      <alignment horizontal="center" vertical="center" wrapText="1"/>
      <protection hidden="1"/>
    </xf>
    <xf numFmtId="0" fontId="0" fillId="3" borderId="34" xfId="0" applyFont="1" applyFill="1" applyBorder="1" applyAlignment="1" applyProtection="1">
      <alignment horizontal="center" vertical="center" wrapText="1"/>
      <protection hidden="1"/>
    </xf>
    <xf numFmtId="0" fontId="0" fillId="3" borderId="67" xfId="0" applyFont="1" applyFill="1" applyBorder="1" applyAlignment="1" applyProtection="1">
      <alignment horizontal="center" vertical="center"/>
      <protection hidden="1"/>
    </xf>
    <xf numFmtId="0" fontId="0" fillId="3" borderId="68" xfId="0" applyFont="1" applyFill="1" applyBorder="1" applyAlignment="1" applyProtection="1">
      <alignment horizontal="center" vertical="center"/>
      <protection hidden="1"/>
    </xf>
    <xf numFmtId="0" fontId="0" fillId="3" borderId="69" xfId="0" applyFont="1" applyFill="1" applyBorder="1" applyAlignment="1" applyProtection="1">
      <alignment horizontal="center" vertical="center"/>
      <protection hidden="1"/>
    </xf>
    <xf numFmtId="2" fontId="6" fillId="0" borderId="6" xfId="2" applyNumberFormat="1" applyFont="1" applyBorder="1" applyAlignment="1" applyProtection="1">
      <alignment horizontal="center" vertical="center"/>
      <protection hidden="1"/>
    </xf>
    <xf numFmtId="0" fontId="0" fillId="3" borderId="89" xfId="0" applyFont="1" applyFill="1" applyBorder="1" applyAlignment="1" applyProtection="1">
      <alignment horizontal="center" vertical="center" wrapText="1"/>
      <protection hidden="1"/>
    </xf>
    <xf numFmtId="0" fontId="0" fillId="3" borderId="94" xfId="0" applyFont="1" applyFill="1" applyBorder="1" applyAlignment="1" applyProtection="1">
      <alignment horizontal="center" vertical="center" wrapText="1"/>
      <protection hidden="1"/>
    </xf>
    <xf numFmtId="0" fontId="0" fillId="3" borderId="90" xfId="0" applyFont="1" applyFill="1" applyBorder="1" applyAlignment="1" applyProtection="1">
      <alignment horizontal="center" vertical="center"/>
      <protection hidden="1"/>
    </xf>
    <xf numFmtId="0" fontId="0" fillId="3" borderId="91" xfId="0" applyFont="1" applyFill="1" applyBorder="1" applyAlignment="1" applyProtection="1">
      <alignment horizontal="center" vertical="center"/>
      <protection hidden="1"/>
    </xf>
    <xf numFmtId="0" fontId="0" fillId="3" borderId="92" xfId="0" applyFont="1" applyFill="1" applyBorder="1" applyAlignment="1" applyProtection="1">
      <alignment horizontal="center" vertical="center"/>
      <protection hidden="1"/>
    </xf>
    <xf numFmtId="0" fontId="0" fillId="3" borderId="95" xfId="0" applyFont="1" applyFill="1" applyBorder="1" applyAlignment="1" applyProtection="1">
      <alignment horizontal="center" vertical="center"/>
      <protection hidden="1"/>
    </xf>
    <xf numFmtId="0" fontId="0" fillId="3" borderId="96" xfId="0" applyFont="1" applyFill="1" applyBorder="1" applyAlignment="1" applyProtection="1">
      <alignment horizontal="center" vertical="center"/>
      <protection hidden="1"/>
    </xf>
    <xf numFmtId="0" fontId="0" fillId="3" borderId="97" xfId="0" applyFont="1" applyFill="1" applyBorder="1" applyAlignment="1" applyProtection="1">
      <alignment horizontal="center" vertical="center"/>
      <protection hidden="1"/>
    </xf>
    <xf numFmtId="0" fontId="8" fillId="0" borderId="57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0" fontId="13" fillId="4" borderId="40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horizontal="center" vertical="center" wrapText="1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4" borderId="40" xfId="0" applyFont="1" applyFill="1" applyBorder="1" applyAlignment="1" applyProtection="1">
      <alignment horizontal="center" vertical="center" wrapText="1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0" fillId="3" borderId="71" xfId="0" applyFont="1" applyFill="1" applyBorder="1" applyAlignment="1" applyProtection="1">
      <alignment horizontal="center" vertical="center"/>
      <protection hidden="1"/>
    </xf>
    <xf numFmtId="0" fontId="0" fillId="3" borderId="65" xfId="0" applyFont="1" applyFill="1" applyBorder="1" applyAlignment="1" applyProtection="1">
      <alignment horizontal="center" vertical="center"/>
      <protection hidden="1"/>
    </xf>
    <xf numFmtId="0" fontId="8" fillId="0" borderId="7" xfId="0" applyFont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horizontal="center" vertical="center"/>
      <protection hidden="1"/>
    </xf>
    <xf numFmtId="0" fontId="15" fillId="10" borderId="7" xfId="0" applyFont="1" applyFill="1" applyBorder="1" applyAlignment="1" applyProtection="1">
      <alignment horizontal="center" vertical="center"/>
      <protection hidden="1"/>
    </xf>
    <xf numFmtId="0" fontId="15" fillId="10" borderId="4" xfId="0" applyFont="1" applyFill="1" applyBorder="1" applyAlignment="1" applyProtection="1">
      <alignment horizontal="center" vertical="center"/>
      <protection hidden="1"/>
    </xf>
    <xf numFmtId="0" fontId="15" fillId="10" borderId="8" xfId="0" applyFont="1" applyFill="1" applyBorder="1" applyAlignment="1" applyProtection="1">
      <alignment horizontal="center" vertical="center"/>
      <protection hidden="1"/>
    </xf>
    <xf numFmtId="0" fontId="8" fillId="0" borderId="57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0" fontId="8" fillId="0" borderId="7" xfId="0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horizontal="center" vertical="center"/>
      <protection hidden="1"/>
    </xf>
    <xf numFmtId="0" fontId="8" fillId="0" borderId="8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1" fontId="8" fillId="4" borderId="40" xfId="0" applyNumberFormat="1" applyFont="1" applyFill="1" applyBorder="1" applyAlignment="1" applyProtection="1">
      <alignment horizontal="center" vertical="center"/>
      <protection hidden="1"/>
    </xf>
    <xf numFmtId="1" fontId="8" fillId="4" borderId="31" xfId="0" applyNumberFormat="1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0" fontId="8" fillId="3" borderId="40" xfId="0" applyFont="1" applyFill="1" applyBorder="1" applyAlignment="1" applyProtection="1">
      <alignment horizontal="center" vertical="center"/>
      <protection hidden="1"/>
    </xf>
    <xf numFmtId="0" fontId="8" fillId="3" borderId="31" xfId="0" applyFont="1" applyFill="1" applyBorder="1" applyAlignment="1" applyProtection="1">
      <alignment horizontal="center" vertical="center"/>
      <protection hidden="1"/>
    </xf>
    <xf numFmtId="0" fontId="8" fillId="3" borderId="9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/>
      <protection hidden="1"/>
    </xf>
    <xf numFmtId="0" fontId="0" fillId="3" borderId="40" xfId="0" applyFont="1" applyFill="1" applyBorder="1" applyAlignment="1" applyProtection="1">
      <alignment horizontal="center" vertical="center" wrapText="1"/>
      <protection hidden="1"/>
    </xf>
    <xf numFmtId="2" fontId="8" fillId="4" borderId="31" xfId="0" applyNumberFormat="1" applyFont="1" applyFill="1" applyBorder="1" applyAlignment="1" applyProtection="1">
      <alignment horizontal="center" vertical="center"/>
      <protection hidden="1"/>
    </xf>
    <xf numFmtId="2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40" xfId="0" applyFont="1" applyFill="1" applyBorder="1" applyAlignment="1" applyProtection="1">
      <alignment horizontal="center" vertical="center"/>
      <protection hidden="1"/>
    </xf>
    <xf numFmtId="0" fontId="0" fillId="3" borderId="31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/>
      <protection hidden="1"/>
    </xf>
    <xf numFmtId="0" fontId="0" fillId="3" borderId="66" xfId="0" applyFont="1" applyFill="1" applyBorder="1" applyAlignment="1" applyProtection="1">
      <alignment horizontal="center" vertical="center"/>
      <protection hidden="1"/>
    </xf>
    <xf numFmtId="0" fontId="0" fillId="3" borderId="60" xfId="0" applyFont="1" applyFill="1" applyBorder="1" applyAlignment="1" applyProtection="1">
      <alignment horizontal="center" vertical="center"/>
      <protection hidden="1"/>
    </xf>
    <xf numFmtId="0" fontId="0" fillId="3" borderId="35" xfId="0" applyFont="1" applyFill="1" applyBorder="1" applyAlignment="1" applyProtection="1">
      <alignment horizontal="center" vertical="center"/>
      <protection hidden="1"/>
    </xf>
    <xf numFmtId="0" fontId="0" fillId="3" borderId="70" xfId="0" applyFont="1" applyFill="1" applyBorder="1" applyAlignment="1" applyProtection="1">
      <alignment horizontal="center" vertical="center"/>
      <protection hidden="1"/>
    </xf>
    <xf numFmtId="0" fontId="0" fillId="3" borderId="31" xfId="0" applyFont="1" applyFill="1" applyBorder="1" applyAlignment="1" applyProtection="1">
      <alignment horizontal="center" vertical="center" wrapText="1"/>
      <protection hidden="1"/>
    </xf>
    <xf numFmtId="0" fontId="0" fillId="3" borderId="9" xfId="0" applyFont="1" applyFill="1" applyBorder="1" applyAlignment="1" applyProtection="1">
      <alignment horizontal="center" vertical="center" wrapText="1"/>
      <protection hidden="1"/>
    </xf>
    <xf numFmtId="2" fontId="6" fillId="0" borderId="6" xfId="2" applyNumberFormat="1" applyFont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 vertical="center"/>
      <protection hidden="1"/>
    </xf>
    <xf numFmtId="0" fontId="15" fillId="0" borderId="30" xfId="0" applyFont="1" applyBorder="1" applyAlignment="1" applyProtection="1">
      <alignment horizontal="left"/>
      <protection hidden="1"/>
    </xf>
    <xf numFmtId="0" fontId="8" fillId="0" borderId="41" xfId="0" applyFont="1" applyFill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center" vertical="center"/>
      <protection hidden="1"/>
    </xf>
    <xf numFmtId="0" fontId="8" fillId="0" borderId="49" xfId="0" applyFont="1" applyFill="1" applyBorder="1" applyAlignment="1" applyProtection="1">
      <alignment horizontal="center" vertical="center"/>
      <protection hidden="1"/>
    </xf>
    <xf numFmtId="0" fontId="8" fillId="0" borderId="64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0" fillId="4" borderId="46" xfId="0" applyFont="1" applyFill="1" applyBorder="1" applyAlignment="1" applyProtection="1">
      <alignment horizontal="center" vertical="center"/>
      <protection hidden="1"/>
    </xf>
    <xf numFmtId="0" fontId="0" fillId="4" borderId="48" xfId="0" applyFont="1" applyFill="1" applyBorder="1" applyAlignment="1" applyProtection="1">
      <alignment horizontal="center" vertical="center"/>
      <protection hidden="1"/>
    </xf>
    <xf numFmtId="2" fontId="8" fillId="4" borderId="40" xfId="0" applyNumberFormat="1" applyFont="1" applyFill="1" applyBorder="1" applyAlignment="1" applyProtection="1">
      <alignment horizontal="center" vertical="center"/>
      <protection hidden="1"/>
    </xf>
    <xf numFmtId="3" fontId="8" fillId="4" borderId="31" xfId="0" applyNumberFormat="1" applyFont="1" applyFill="1" applyBorder="1" applyAlignment="1" applyProtection="1">
      <alignment horizontal="center" vertical="center"/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3" fontId="0" fillId="3" borderId="1" xfId="0" applyNumberFormat="1" applyFont="1" applyFill="1" applyBorder="1" applyAlignment="1" applyProtection="1">
      <alignment horizontal="center" vertical="center"/>
      <protection hidden="1"/>
    </xf>
    <xf numFmtId="3" fontId="0" fillId="3" borderId="2" xfId="0" applyNumberFormat="1" applyFont="1" applyFill="1" applyBorder="1" applyAlignment="1" applyProtection="1">
      <alignment horizontal="center" vertical="center"/>
      <protection hidden="1"/>
    </xf>
    <xf numFmtId="3" fontId="0" fillId="3" borderId="3" xfId="0" applyNumberFormat="1" applyFont="1" applyFill="1" applyBorder="1" applyAlignment="1" applyProtection="1">
      <alignment horizontal="center" vertical="center"/>
      <protection hidden="1"/>
    </xf>
    <xf numFmtId="0" fontId="8" fillId="3" borderId="41" xfId="0" applyFont="1" applyFill="1" applyBorder="1" applyAlignment="1" applyProtection="1">
      <alignment horizontal="center" vertical="center"/>
      <protection hidden="1"/>
    </xf>
    <xf numFmtId="0" fontId="8" fillId="3" borderId="57" xfId="0" applyFont="1" applyFill="1" applyBorder="1" applyAlignment="1" applyProtection="1">
      <alignment horizontal="center" vertical="center"/>
      <protection hidden="1"/>
    </xf>
    <xf numFmtId="0" fontId="8" fillId="3" borderId="33" xfId="0" applyFont="1" applyFill="1" applyBorder="1" applyAlignment="1" applyProtection="1">
      <alignment horizontal="center" vertical="center"/>
      <protection hidden="1"/>
    </xf>
    <xf numFmtId="164" fontId="0" fillId="3" borderId="74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40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/>
      <protection hidden="1"/>
    </xf>
    <xf numFmtId="0" fontId="0" fillId="15" borderId="2" xfId="0" applyFon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11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/>
      <protection hidden="1"/>
    </xf>
    <xf numFmtId="0" fontId="0" fillId="3" borderId="21" xfId="0" applyFont="1" applyFill="1" applyBorder="1" applyAlignment="1" applyProtection="1">
      <alignment horizontal="center" vertical="center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 wrapText="1"/>
      <protection hidden="1"/>
    </xf>
    <xf numFmtId="0" fontId="0" fillId="3" borderId="32" xfId="0" applyFont="1" applyFill="1" applyBorder="1" applyAlignment="1" applyProtection="1">
      <alignment horizontal="center" vertical="center" wrapText="1"/>
      <protection hidden="1"/>
    </xf>
    <xf numFmtId="0" fontId="0" fillId="3" borderId="18" xfId="0" applyFont="1" applyFill="1" applyBorder="1" applyAlignment="1" applyProtection="1">
      <alignment horizontal="center" vertical="center" wrapText="1"/>
      <protection hidden="1"/>
    </xf>
    <xf numFmtId="0" fontId="8" fillId="3" borderId="85" xfId="0" applyFont="1" applyFill="1" applyBorder="1" applyAlignment="1" applyProtection="1">
      <alignment horizontal="center" vertical="center"/>
      <protection hidden="1"/>
    </xf>
    <xf numFmtId="0" fontId="0" fillId="3" borderId="86" xfId="0" applyFont="1" applyFill="1" applyBorder="1" applyAlignment="1" applyProtection="1">
      <alignment horizontal="center" vertical="center"/>
      <protection hidden="1"/>
    </xf>
    <xf numFmtId="0" fontId="0" fillId="3" borderId="46" xfId="0" applyFont="1" applyFill="1" applyBorder="1" applyAlignment="1" applyProtection="1">
      <alignment horizontal="center" vertical="center" wrapText="1"/>
      <protection hidden="1"/>
    </xf>
    <xf numFmtId="0" fontId="0" fillId="3" borderId="61" xfId="0" applyFont="1" applyFill="1" applyBorder="1" applyAlignment="1" applyProtection="1">
      <alignment horizontal="center" vertical="center"/>
      <protection hidden="1"/>
    </xf>
    <xf numFmtId="0" fontId="0" fillId="3" borderId="47" xfId="0" applyFont="1" applyFill="1" applyBorder="1" applyAlignment="1" applyProtection="1">
      <alignment horizontal="center" vertical="center"/>
      <protection hidden="1"/>
    </xf>
    <xf numFmtId="0" fontId="0" fillId="3" borderId="84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/>
      <protection hidden="1"/>
    </xf>
    <xf numFmtId="0" fontId="0" fillId="7" borderId="3" xfId="0" applyFont="1" applyFill="1" applyBorder="1" applyAlignment="1" applyProtection="1">
      <alignment horizontal="center" vertical="center"/>
      <protection hidden="1"/>
    </xf>
    <xf numFmtId="0" fontId="6" fillId="3" borderId="40" xfId="1" applyFont="1" applyFill="1" applyBorder="1" applyAlignment="1" applyProtection="1">
      <alignment horizontal="center" vertical="center"/>
      <protection hidden="1"/>
    </xf>
    <xf numFmtId="0" fontId="6" fillId="3" borderId="31" xfId="1" applyFont="1" applyFill="1" applyBorder="1" applyAlignment="1" applyProtection="1">
      <alignment horizontal="center" vertical="center"/>
      <protection hidden="1"/>
    </xf>
    <xf numFmtId="0" fontId="6" fillId="3" borderId="9" xfId="1" applyFont="1" applyFill="1" applyBorder="1" applyAlignment="1" applyProtection="1">
      <alignment horizontal="center" vertical="center"/>
      <protection hidden="1"/>
    </xf>
    <xf numFmtId="0" fontId="8" fillId="3" borderId="19" xfId="0" applyFont="1" applyFill="1" applyBorder="1" applyAlignment="1" applyProtection="1">
      <alignment horizontal="center" vertical="center"/>
      <protection hidden="1"/>
    </xf>
    <xf numFmtId="0" fontId="8" fillId="3" borderId="32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164" fontId="0" fillId="3" borderId="28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1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9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19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18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76" xfId="0" applyNumberFormat="1" applyFont="1" applyFill="1" applyBorder="1" applyAlignment="1" applyProtection="1">
      <alignment horizontal="center" vertical="center" wrapText="1"/>
      <protection hidden="1"/>
    </xf>
    <xf numFmtId="0" fontId="0" fillId="4" borderId="28" xfId="0" applyFont="1" applyFill="1" applyBorder="1" applyAlignment="1" applyProtection="1">
      <alignment horizontal="center" vertical="center"/>
      <protection hidden="1"/>
    </xf>
    <xf numFmtId="0" fontId="0" fillId="4" borderId="29" xfId="0" applyFont="1" applyFill="1" applyBorder="1" applyAlignment="1" applyProtection="1">
      <alignment horizontal="center" vertical="center"/>
      <protection hidden="1"/>
    </xf>
    <xf numFmtId="0" fontId="0" fillId="7" borderId="40" xfId="0" applyFont="1" applyFill="1" applyBorder="1" applyAlignment="1" applyProtection="1">
      <alignment horizontal="center" vertical="center"/>
      <protection hidden="1"/>
    </xf>
    <xf numFmtId="0" fontId="0" fillId="7" borderId="31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horizontal="center" vertical="center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10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 applyProtection="1">
      <alignment horizontal="center" vertical="center"/>
      <protection hidden="1"/>
    </xf>
    <xf numFmtId="0" fontId="0" fillId="3" borderId="27" xfId="0" applyFont="1" applyFill="1" applyBorder="1" applyAlignment="1" applyProtection="1">
      <alignment horizontal="center" vertical="center"/>
      <protection hidden="1"/>
    </xf>
    <xf numFmtId="0" fontId="0" fillId="0" borderId="4" xfId="0" applyFont="1" applyFill="1" applyBorder="1" applyAlignment="1" applyProtection="1">
      <alignment horizontal="center" vertical="center"/>
      <protection hidden="1"/>
    </xf>
    <xf numFmtId="0" fontId="0" fillId="0" borderId="8" xfId="0" applyFont="1" applyFill="1" applyBorder="1" applyAlignment="1" applyProtection="1">
      <alignment horizontal="center" vertical="center"/>
      <protection hidden="1"/>
    </xf>
    <xf numFmtId="0" fontId="8" fillId="3" borderId="27" xfId="0" applyFont="1" applyFill="1" applyBorder="1" applyAlignment="1" applyProtection="1">
      <alignment horizontal="center" vertical="center"/>
      <protection hidden="1"/>
    </xf>
    <xf numFmtId="0" fontId="0" fillId="3" borderId="62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3" borderId="87" xfId="0" applyFont="1" applyFill="1" applyBorder="1" applyAlignment="1" applyProtection="1">
      <alignment horizontal="center" vertical="center"/>
      <protection hidden="1"/>
    </xf>
    <xf numFmtId="0" fontId="0" fillId="3" borderId="56" xfId="0" applyFont="1" applyFill="1" applyBorder="1" applyAlignment="1" applyProtection="1">
      <alignment horizontal="center" vertical="center"/>
      <protection hidden="1"/>
    </xf>
    <xf numFmtId="0" fontId="0" fillId="3" borderId="45" xfId="0" applyFont="1" applyFill="1" applyBorder="1" applyAlignment="1" applyProtection="1">
      <alignment horizontal="center" vertical="center"/>
      <protection hidden="1"/>
    </xf>
    <xf numFmtId="0" fontId="0" fillId="3" borderId="53" xfId="0" applyFont="1" applyFill="1" applyBorder="1" applyAlignment="1" applyProtection="1">
      <alignment horizontal="center" vertical="center"/>
      <protection hidden="1"/>
    </xf>
    <xf numFmtId="0" fontId="0" fillId="3" borderId="14" xfId="0" applyFont="1" applyFill="1" applyBorder="1" applyAlignment="1" applyProtection="1">
      <alignment horizontal="center" vertical="center"/>
      <protection hidden="1"/>
    </xf>
    <xf numFmtId="0" fontId="0" fillId="3" borderId="49" xfId="0" applyFont="1" applyFill="1" applyBorder="1" applyAlignment="1" applyProtection="1">
      <alignment horizontal="center" vertical="center"/>
      <protection hidden="1"/>
    </xf>
    <xf numFmtId="0" fontId="0" fillId="3" borderId="6" xfId="0" applyFont="1" applyFill="1" applyBorder="1" applyAlignment="1" applyProtection="1">
      <alignment horizontal="center" vertical="center"/>
      <protection hidden="1"/>
    </xf>
    <xf numFmtId="0" fontId="0" fillId="3" borderId="34" xfId="0" applyFont="1" applyFill="1" applyBorder="1" applyAlignment="1" applyProtection="1">
      <alignment horizontal="center" vertical="center"/>
      <protection hidden="1"/>
    </xf>
    <xf numFmtId="0" fontId="0" fillId="3" borderId="32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57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3" borderId="40" xfId="0" applyFill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center" vertical="center"/>
      <protection hidden="1"/>
    </xf>
    <xf numFmtId="0" fontId="0" fillId="3" borderId="9" xfId="0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10" fillId="25" borderId="1" xfId="0" applyFont="1" applyFill="1" applyBorder="1" applyAlignment="1" applyProtection="1">
      <alignment horizontal="center" vertical="center"/>
      <protection hidden="1"/>
    </xf>
    <xf numFmtId="0" fontId="10" fillId="25" borderId="3" xfId="0" applyFont="1" applyFill="1" applyBorder="1" applyAlignment="1" applyProtection="1">
      <alignment horizontal="center" vertical="center"/>
      <protection hidden="1"/>
    </xf>
    <xf numFmtId="0" fontId="0" fillId="4" borderId="50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8" fillId="3" borderId="18" xfId="0" applyFon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0" fillId="3" borderId="44" xfId="0" applyFont="1" applyFill="1" applyBorder="1" applyAlignment="1" applyProtection="1">
      <alignment horizontal="center" vertical="center"/>
      <protection hidden="1"/>
    </xf>
    <xf numFmtId="0" fontId="0" fillId="3" borderId="43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Protection="1">
      <protection hidden="1"/>
    </xf>
    <xf numFmtId="0" fontId="0" fillId="3" borderId="3" xfId="0" applyFont="1" applyFill="1" applyBorder="1" applyProtection="1">
      <protection hidden="1"/>
    </xf>
    <xf numFmtId="0" fontId="8" fillId="3" borderId="50" xfId="0" applyFont="1" applyFill="1" applyBorder="1" applyAlignment="1" applyProtection="1">
      <alignment horizontal="center" vertical="center"/>
      <protection hidden="1"/>
    </xf>
    <xf numFmtId="0" fontId="0" fillId="3" borderId="23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 wrapText="1"/>
      <protection hidden="1"/>
    </xf>
    <xf numFmtId="0" fontId="0" fillId="4" borderId="12" xfId="0" applyFont="1" applyFill="1" applyBorder="1" applyAlignment="1" applyProtection="1">
      <alignment horizontal="center" vertical="center" wrapText="1"/>
      <protection hidden="1"/>
    </xf>
    <xf numFmtId="0" fontId="21" fillId="10" borderId="41" xfId="0" applyFont="1" applyFill="1" applyBorder="1" applyAlignment="1" applyProtection="1">
      <alignment horizontal="center" vertical="center"/>
      <protection hidden="1"/>
    </xf>
    <xf numFmtId="0" fontId="21" fillId="10" borderId="15" xfId="0" applyFont="1" applyFill="1" applyBorder="1" applyAlignment="1" applyProtection="1">
      <alignment horizontal="center" vertical="center"/>
      <protection hidden="1"/>
    </xf>
    <xf numFmtId="0" fontId="21" fillId="10" borderId="49" xfId="0" applyFont="1" applyFill="1" applyBorder="1" applyAlignment="1" applyProtection="1">
      <alignment horizontal="center" vertical="center"/>
      <protection hidden="1"/>
    </xf>
    <xf numFmtId="0" fontId="0" fillId="3" borderId="52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8" fillId="3" borderId="12" xfId="0" applyFont="1" applyFill="1" applyBorder="1" applyAlignment="1" applyProtection="1">
      <alignment horizontal="center" vertical="center"/>
      <protection hidden="1"/>
    </xf>
    <xf numFmtId="0" fontId="0" fillId="4" borderId="31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3" borderId="0" xfId="0" applyFont="1" applyFill="1" applyBorder="1" applyAlignment="1" applyProtection="1">
      <alignment horizontal="center" vertical="center" wrapText="1"/>
      <protection hidden="1"/>
    </xf>
    <xf numFmtId="0" fontId="8" fillId="0" borderId="51" xfId="0" applyFont="1" applyFill="1" applyBorder="1" applyAlignment="1">
      <alignment horizontal="center" vertical="center"/>
    </xf>
    <xf numFmtId="0" fontId="0" fillId="4" borderId="40" xfId="0" applyFont="1" applyFill="1" applyBorder="1" applyAlignment="1" applyProtection="1">
      <alignment horizontal="center" vertical="center" wrapText="1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13" fillId="4" borderId="40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horizontal="center" vertical="center" wrapText="1"/>
      <protection hidden="1"/>
    </xf>
    <xf numFmtId="0" fontId="0" fillId="4" borderId="41" xfId="0" applyFont="1" applyFill="1" applyBorder="1" applyAlignment="1" applyProtection="1">
      <alignment horizontal="center" vertical="center" wrapText="1"/>
      <protection hidden="1"/>
    </xf>
    <xf numFmtId="0" fontId="0" fillId="4" borderId="33" xfId="0" applyFont="1" applyFill="1" applyBorder="1" applyAlignment="1" applyProtection="1">
      <alignment horizontal="center" vertical="center" wrapText="1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 wrapText="1"/>
      <protection hidden="1"/>
    </xf>
    <xf numFmtId="164" fontId="0" fillId="3" borderId="75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40" xfId="0" applyNumberFormat="1" applyFont="1" applyFill="1" applyBorder="1" applyAlignment="1" applyProtection="1">
      <alignment horizontal="center" vertical="center"/>
      <protection hidden="1"/>
    </xf>
    <xf numFmtId="3" fontId="0" fillId="3" borderId="31" xfId="0" applyNumberFormat="1" applyFont="1" applyFill="1" applyBorder="1" applyAlignment="1" applyProtection="1">
      <alignment horizontal="center" vertical="center"/>
      <protection hidden="1"/>
    </xf>
    <xf numFmtId="3" fontId="0" fillId="3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74" xfId="0" applyFont="1" applyFill="1" applyBorder="1" applyAlignment="1" applyProtection="1">
      <alignment horizontal="center" vertical="center" wrapText="1"/>
      <protection hidden="1"/>
    </xf>
    <xf numFmtId="0" fontId="0" fillId="3" borderId="76" xfId="0" applyFont="1" applyFill="1" applyBorder="1" applyAlignment="1" applyProtection="1">
      <alignment horizontal="center" vertical="center" wrapText="1"/>
      <protection hidden="1"/>
    </xf>
    <xf numFmtId="0" fontId="0" fillId="3" borderId="73" xfId="0" applyFont="1" applyFill="1" applyBorder="1" applyAlignment="1" applyProtection="1">
      <alignment horizontal="center" vertical="center"/>
      <protection hidden="1"/>
    </xf>
    <xf numFmtId="0" fontId="0" fillId="3" borderId="83" xfId="0" applyFont="1" applyFill="1" applyBorder="1" applyAlignment="1" applyProtection="1">
      <alignment horizontal="center" vertical="center"/>
      <protection hidden="1"/>
    </xf>
    <xf numFmtId="0" fontId="0" fillId="3" borderId="77" xfId="0" applyFont="1" applyFill="1" applyBorder="1" applyAlignment="1" applyProtection="1">
      <alignment horizontal="center" vertical="center"/>
      <protection hidden="1"/>
    </xf>
    <xf numFmtId="0" fontId="0" fillId="3" borderId="78" xfId="0" applyFont="1" applyFill="1" applyBorder="1" applyAlignment="1" applyProtection="1">
      <alignment horizontal="center" vertical="center"/>
      <protection hidden="1"/>
    </xf>
    <xf numFmtId="0" fontId="0" fillId="3" borderId="80" xfId="0" applyFont="1" applyFill="1" applyBorder="1" applyAlignment="1" applyProtection="1">
      <alignment horizontal="center" vertical="center"/>
      <protection hidden="1"/>
    </xf>
    <xf numFmtId="0" fontId="0" fillId="3" borderId="81" xfId="0" applyFont="1" applyFill="1" applyBorder="1" applyAlignment="1" applyProtection="1">
      <alignment horizontal="center" vertical="center"/>
      <protection hidden="1"/>
    </xf>
    <xf numFmtId="0" fontId="0" fillId="3" borderId="75" xfId="0" applyFont="1" applyFill="1" applyBorder="1" applyAlignment="1" applyProtection="1">
      <alignment horizontal="center" vertical="center" wrapText="1"/>
      <protection hidden="1"/>
    </xf>
    <xf numFmtId="0" fontId="0" fillId="3" borderId="72" xfId="0" applyFont="1" applyFill="1" applyBorder="1" applyAlignment="1" applyProtection="1">
      <alignment horizontal="center" vertical="center"/>
      <protection hidden="1"/>
    </xf>
    <xf numFmtId="0" fontId="0" fillId="3" borderId="82" xfId="0" applyFont="1" applyFill="1" applyBorder="1" applyAlignment="1" applyProtection="1">
      <alignment horizontal="center" vertical="center"/>
      <protection hidden="1"/>
    </xf>
    <xf numFmtId="0" fontId="0" fillId="3" borderId="79" xfId="0" applyFont="1" applyFill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0" fillId="0" borderId="59" xfId="0" applyBorder="1" applyProtection="1">
      <protection hidden="1"/>
    </xf>
    <xf numFmtId="0" fontId="11" fillId="0" borderId="59" xfId="0" applyFont="1" applyFill="1" applyBorder="1" applyProtection="1">
      <protection hidden="1"/>
    </xf>
    <xf numFmtId="3" fontId="8" fillId="4" borderId="8" xfId="0" applyNumberFormat="1" applyFont="1" applyFill="1" applyBorder="1" applyAlignment="1" applyProtection="1">
      <alignment horizontal="center" vertical="center"/>
      <protection hidden="1"/>
    </xf>
    <xf numFmtId="3" fontId="8" fillId="4" borderId="48" xfId="0" applyNumberFormat="1" applyFont="1" applyFill="1" applyBorder="1" applyAlignment="1" applyProtection="1">
      <alignment horizontal="center" vertical="center"/>
      <protection hidden="1"/>
    </xf>
    <xf numFmtId="1" fontId="8" fillId="4" borderId="8" xfId="0" applyNumberFormat="1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/>
    </xf>
    <xf numFmtId="3" fontId="8" fillId="4" borderId="8" xfId="0" applyNumberFormat="1" applyFont="1" applyFill="1" applyBorder="1" applyAlignment="1">
      <alignment horizontal="center" vertical="center"/>
    </xf>
    <xf numFmtId="3" fontId="8" fillId="4" borderId="34" xfId="0" applyNumberFormat="1" applyFont="1" applyFill="1" applyBorder="1" applyAlignment="1" applyProtection="1">
      <alignment horizontal="center" vertical="center"/>
      <protection hidden="1"/>
    </xf>
    <xf numFmtId="3" fontId="8" fillId="4" borderId="61" xfId="0" applyNumberFormat="1" applyFont="1" applyFill="1" applyBorder="1" applyAlignment="1" applyProtection="1">
      <alignment horizontal="center" vertical="center"/>
      <protection hidden="1"/>
    </xf>
    <xf numFmtId="3" fontId="8" fillId="4" borderId="49" xfId="0" applyNumberFormat="1" applyFont="1" applyFill="1" applyBorder="1" applyAlignment="1" applyProtection="1">
      <alignment horizontal="center" vertical="center"/>
      <protection hidden="1"/>
    </xf>
    <xf numFmtId="0" fontId="8" fillId="0" borderId="36" xfId="0" applyFont="1" applyFill="1" applyBorder="1" applyAlignment="1" applyProtection="1">
      <alignment horizontal="center" vertical="center"/>
      <protection hidden="1"/>
    </xf>
    <xf numFmtId="3" fontId="8" fillId="4" borderId="64" xfId="0" applyNumberFormat="1" applyFont="1" applyFill="1" applyBorder="1" applyAlignment="1" applyProtection="1">
      <alignment horizontal="center" vertical="center"/>
      <protection hidden="1"/>
    </xf>
    <xf numFmtId="3" fontId="8" fillId="4" borderId="85" xfId="0" applyNumberFormat="1" applyFont="1" applyFill="1" applyBorder="1" applyAlignment="1" applyProtection="1">
      <alignment horizontal="center" vertical="center"/>
      <protection hidden="1"/>
    </xf>
    <xf numFmtId="3" fontId="8" fillId="4" borderId="86" xfId="0" applyNumberFormat="1" applyFont="1" applyFill="1" applyBorder="1" applyAlignment="1" applyProtection="1">
      <alignment horizontal="center" vertical="center"/>
      <protection hidden="1"/>
    </xf>
    <xf numFmtId="0" fontId="8" fillId="5" borderId="36" xfId="0" applyFont="1" applyFill="1" applyBorder="1" applyAlignment="1" applyProtection="1">
      <alignment horizontal="center" vertical="center"/>
      <protection hidden="1"/>
    </xf>
    <xf numFmtId="0" fontId="8" fillId="0" borderId="56" xfId="0" applyFont="1" applyFill="1" applyBorder="1" applyAlignment="1" applyProtection="1">
      <alignment horizontal="center" vertical="center"/>
      <protection hidden="1"/>
    </xf>
    <xf numFmtId="1" fontId="8" fillId="4" borderId="64" xfId="0" applyNumberFormat="1" applyFont="1" applyFill="1" applyBorder="1" applyAlignment="1">
      <alignment horizontal="center" vertical="center"/>
    </xf>
    <xf numFmtId="0" fontId="8" fillId="5" borderId="87" xfId="0" applyFont="1" applyFill="1" applyBorder="1" applyAlignment="1" applyProtection="1">
      <alignment horizontal="center" vertical="center"/>
      <protection hidden="1"/>
    </xf>
    <xf numFmtId="0" fontId="8" fillId="5" borderId="45" xfId="0" applyFont="1" applyFill="1" applyBorder="1" applyAlignment="1" applyProtection="1">
      <alignment horizontal="center" vertical="center"/>
      <protection hidden="1"/>
    </xf>
    <xf numFmtId="0" fontId="8" fillId="0" borderId="45" xfId="0" applyFont="1" applyFill="1" applyBorder="1" applyAlignment="1" applyProtection="1">
      <alignment horizontal="center" vertical="center"/>
      <protection hidden="1"/>
    </xf>
    <xf numFmtId="3" fontId="8" fillId="4" borderId="88" xfId="0" applyNumberFormat="1" applyFont="1" applyFill="1" applyBorder="1" applyAlignment="1" applyProtection="1">
      <alignment horizontal="center" vertical="center"/>
      <protection hidden="1"/>
    </xf>
    <xf numFmtId="3" fontId="8" fillId="4" borderId="69" xfId="0" applyNumberFormat="1" applyFont="1" applyFill="1" applyBorder="1" applyAlignment="1" applyProtection="1">
      <alignment horizontal="center" vertical="center"/>
      <protection hidden="1"/>
    </xf>
    <xf numFmtId="3" fontId="8" fillId="4" borderId="98" xfId="0" applyNumberFormat="1" applyFont="1" applyFill="1" applyBorder="1" applyAlignment="1" applyProtection="1">
      <alignment horizontal="center" vertical="center"/>
      <protection hidden="1"/>
    </xf>
    <xf numFmtId="0" fontId="8" fillId="0" borderId="87" xfId="0" applyFont="1" applyFill="1" applyBorder="1" applyAlignment="1" applyProtection="1">
      <alignment horizontal="center" vertical="center"/>
      <protection hidden="1"/>
    </xf>
    <xf numFmtId="3" fontId="8" fillId="0" borderId="87" xfId="0" applyNumberFormat="1" applyFont="1" applyFill="1" applyBorder="1" applyAlignment="1" applyProtection="1">
      <alignment horizontal="center" vertical="center"/>
      <protection hidden="1"/>
    </xf>
    <xf numFmtId="0" fontId="15" fillId="10" borderId="36" xfId="0" applyFont="1" applyFill="1" applyBorder="1" applyAlignment="1" applyProtection="1">
      <alignment horizontal="center" vertical="center"/>
      <protection hidden="1"/>
    </xf>
    <xf numFmtId="0" fontId="8" fillId="0" borderId="64" xfId="0" applyFont="1" applyBorder="1" applyAlignment="1" applyProtection="1">
      <alignment horizontal="center" vertical="center" wrapText="1"/>
      <protection hidden="1"/>
    </xf>
    <xf numFmtId="3" fontId="8" fillId="4" borderId="93" xfId="0" applyNumberFormat="1" applyFont="1" applyFill="1" applyBorder="1" applyAlignment="1" applyProtection="1">
      <alignment horizontal="center" vertical="center"/>
      <protection hidden="1"/>
    </xf>
    <xf numFmtId="0" fontId="0" fillId="0" borderId="36" xfId="0" applyFont="1" applyFill="1" applyBorder="1" applyAlignment="1" applyProtection="1">
      <alignment horizontal="center" vertical="center"/>
      <protection hidden="1"/>
    </xf>
    <xf numFmtId="3" fontId="8" fillId="4" borderId="67" xfId="0" applyNumberFormat="1" applyFont="1" applyFill="1" applyBorder="1" applyAlignment="1" applyProtection="1">
      <alignment horizontal="center" vertical="center"/>
      <protection hidden="1"/>
    </xf>
  </cellXfs>
  <cellStyles count="3">
    <cellStyle name="Нейтральный" xfId="1" builtinId="28"/>
    <cellStyle name="Обычный" xfId="0" builtinId="0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pn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9.jpeg"/><Relationship Id="rId117" Type="http://schemas.openxmlformats.org/officeDocument/2006/relationships/image" Target="../media/image105.jpeg"/><Relationship Id="rId21" Type="http://schemas.openxmlformats.org/officeDocument/2006/relationships/image" Target="../media/image145.jpeg"/><Relationship Id="rId42" Type="http://schemas.openxmlformats.org/officeDocument/2006/relationships/image" Target="../media/image165.jpeg"/><Relationship Id="rId47" Type="http://schemas.openxmlformats.org/officeDocument/2006/relationships/image" Target="../media/image170.jpeg"/><Relationship Id="rId63" Type="http://schemas.openxmlformats.org/officeDocument/2006/relationships/image" Target="../media/image185.jpeg"/><Relationship Id="rId68" Type="http://schemas.openxmlformats.org/officeDocument/2006/relationships/image" Target="../media/image190.jpeg"/><Relationship Id="rId84" Type="http://schemas.openxmlformats.org/officeDocument/2006/relationships/image" Target="../media/image205.jpeg"/><Relationship Id="rId89" Type="http://schemas.openxmlformats.org/officeDocument/2006/relationships/image" Target="../media/image210.jpeg"/><Relationship Id="rId112" Type="http://schemas.openxmlformats.org/officeDocument/2006/relationships/image" Target="../media/image233.jpeg"/><Relationship Id="rId16" Type="http://schemas.openxmlformats.org/officeDocument/2006/relationships/image" Target="../media/image142.jpeg"/><Relationship Id="rId107" Type="http://schemas.openxmlformats.org/officeDocument/2006/relationships/image" Target="../media/image228.jpeg"/><Relationship Id="rId11" Type="http://schemas.openxmlformats.org/officeDocument/2006/relationships/image" Target="../media/image137.jpeg"/><Relationship Id="rId24" Type="http://schemas.openxmlformats.org/officeDocument/2006/relationships/image" Target="../media/image147.jpeg"/><Relationship Id="rId32" Type="http://schemas.openxmlformats.org/officeDocument/2006/relationships/image" Target="../media/image155.jpeg"/><Relationship Id="rId37" Type="http://schemas.openxmlformats.org/officeDocument/2006/relationships/image" Target="../media/image160.jpeg"/><Relationship Id="rId40" Type="http://schemas.openxmlformats.org/officeDocument/2006/relationships/image" Target="../media/image163.jpeg"/><Relationship Id="rId45" Type="http://schemas.openxmlformats.org/officeDocument/2006/relationships/image" Target="../media/image168.jpeg"/><Relationship Id="rId53" Type="http://schemas.openxmlformats.org/officeDocument/2006/relationships/image" Target="../media/image175.jpeg"/><Relationship Id="rId58" Type="http://schemas.openxmlformats.org/officeDocument/2006/relationships/image" Target="../media/image180.jpeg"/><Relationship Id="rId66" Type="http://schemas.openxmlformats.org/officeDocument/2006/relationships/image" Target="../media/image188.jpeg"/><Relationship Id="rId74" Type="http://schemas.openxmlformats.org/officeDocument/2006/relationships/image" Target="../media/image196.jpeg"/><Relationship Id="rId79" Type="http://schemas.openxmlformats.org/officeDocument/2006/relationships/image" Target="../media/image200.jpeg"/><Relationship Id="rId87" Type="http://schemas.openxmlformats.org/officeDocument/2006/relationships/image" Target="../media/image208.jpeg"/><Relationship Id="rId102" Type="http://schemas.openxmlformats.org/officeDocument/2006/relationships/image" Target="../media/image223.jpeg"/><Relationship Id="rId110" Type="http://schemas.openxmlformats.org/officeDocument/2006/relationships/image" Target="../media/image231.jpeg"/><Relationship Id="rId115" Type="http://schemas.openxmlformats.org/officeDocument/2006/relationships/image" Target="../media/image236.jpeg"/><Relationship Id="rId5" Type="http://schemas.openxmlformats.org/officeDocument/2006/relationships/image" Target="../media/image131.jpeg"/><Relationship Id="rId61" Type="http://schemas.openxmlformats.org/officeDocument/2006/relationships/image" Target="../media/image183.jpeg"/><Relationship Id="rId82" Type="http://schemas.openxmlformats.org/officeDocument/2006/relationships/image" Target="../media/image203.jpeg"/><Relationship Id="rId90" Type="http://schemas.openxmlformats.org/officeDocument/2006/relationships/image" Target="../media/image211.jpeg"/><Relationship Id="rId95" Type="http://schemas.openxmlformats.org/officeDocument/2006/relationships/image" Target="../media/image216.jpeg"/><Relationship Id="rId19" Type="http://schemas.openxmlformats.org/officeDocument/2006/relationships/image" Target="../media/image19.jpeg"/><Relationship Id="rId14" Type="http://schemas.openxmlformats.org/officeDocument/2006/relationships/image" Target="../media/image140.jpeg"/><Relationship Id="rId22" Type="http://schemas.openxmlformats.org/officeDocument/2006/relationships/image" Target="../media/image22.jpeg"/><Relationship Id="rId27" Type="http://schemas.openxmlformats.org/officeDocument/2006/relationships/image" Target="../media/image150.jpeg"/><Relationship Id="rId30" Type="http://schemas.openxmlformats.org/officeDocument/2006/relationships/image" Target="../media/image153.jpeg"/><Relationship Id="rId35" Type="http://schemas.openxmlformats.org/officeDocument/2006/relationships/image" Target="../media/image158.jpeg"/><Relationship Id="rId43" Type="http://schemas.openxmlformats.org/officeDocument/2006/relationships/image" Target="../media/image166.jpeg"/><Relationship Id="rId48" Type="http://schemas.openxmlformats.org/officeDocument/2006/relationships/image" Target="../media/image171.jpeg"/><Relationship Id="rId56" Type="http://schemas.openxmlformats.org/officeDocument/2006/relationships/image" Target="../media/image178.jpeg"/><Relationship Id="rId64" Type="http://schemas.openxmlformats.org/officeDocument/2006/relationships/image" Target="../media/image186.jpeg"/><Relationship Id="rId69" Type="http://schemas.openxmlformats.org/officeDocument/2006/relationships/image" Target="../media/image191.jpeg"/><Relationship Id="rId77" Type="http://schemas.openxmlformats.org/officeDocument/2006/relationships/image" Target="../media/image198.jpeg"/><Relationship Id="rId100" Type="http://schemas.openxmlformats.org/officeDocument/2006/relationships/image" Target="../media/image221.jpeg"/><Relationship Id="rId105" Type="http://schemas.openxmlformats.org/officeDocument/2006/relationships/image" Target="../media/image226.jpeg"/><Relationship Id="rId113" Type="http://schemas.openxmlformats.org/officeDocument/2006/relationships/image" Target="../media/image234.jpeg"/><Relationship Id="rId118" Type="http://schemas.openxmlformats.org/officeDocument/2006/relationships/image" Target="../media/image238.jpeg"/><Relationship Id="rId8" Type="http://schemas.openxmlformats.org/officeDocument/2006/relationships/image" Target="../media/image134.jpeg"/><Relationship Id="rId51" Type="http://schemas.openxmlformats.org/officeDocument/2006/relationships/image" Target="../media/image41.png"/><Relationship Id="rId72" Type="http://schemas.openxmlformats.org/officeDocument/2006/relationships/image" Target="../media/image194.jpeg"/><Relationship Id="rId80" Type="http://schemas.openxmlformats.org/officeDocument/2006/relationships/image" Target="../media/image201.jpeg"/><Relationship Id="rId85" Type="http://schemas.openxmlformats.org/officeDocument/2006/relationships/image" Target="../media/image206.jpeg"/><Relationship Id="rId93" Type="http://schemas.openxmlformats.org/officeDocument/2006/relationships/image" Target="../media/image214.jpeg"/><Relationship Id="rId98" Type="http://schemas.openxmlformats.org/officeDocument/2006/relationships/image" Target="../media/image219.jpeg"/><Relationship Id="rId3" Type="http://schemas.openxmlformats.org/officeDocument/2006/relationships/image" Target="../media/image129.jpeg"/><Relationship Id="rId12" Type="http://schemas.openxmlformats.org/officeDocument/2006/relationships/image" Target="../media/image138.jpeg"/><Relationship Id="rId17" Type="http://schemas.openxmlformats.org/officeDocument/2006/relationships/image" Target="../media/image143.jpeg"/><Relationship Id="rId25" Type="http://schemas.openxmlformats.org/officeDocument/2006/relationships/image" Target="../media/image148.jpeg"/><Relationship Id="rId33" Type="http://schemas.openxmlformats.org/officeDocument/2006/relationships/image" Target="../media/image156.jpeg"/><Relationship Id="rId38" Type="http://schemas.openxmlformats.org/officeDocument/2006/relationships/image" Target="../media/image161.jpeg"/><Relationship Id="rId46" Type="http://schemas.openxmlformats.org/officeDocument/2006/relationships/image" Target="../media/image169.jpeg"/><Relationship Id="rId59" Type="http://schemas.openxmlformats.org/officeDocument/2006/relationships/image" Target="../media/image181.jpeg"/><Relationship Id="rId67" Type="http://schemas.openxmlformats.org/officeDocument/2006/relationships/image" Target="../media/image189.jpeg"/><Relationship Id="rId103" Type="http://schemas.openxmlformats.org/officeDocument/2006/relationships/image" Target="../media/image224.jpeg"/><Relationship Id="rId108" Type="http://schemas.openxmlformats.org/officeDocument/2006/relationships/image" Target="../media/image229.jpeg"/><Relationship Id="rId116" Type="http://schemas.openxmlformats.org/officeDocument/2006/relationships/image" Target="../media/image237.jpeg"/><Relationship Id="rId20" Type="http://schemas.openxmlformats.org/officeDocument/2006/relationships/image" Target="../media/image20.jpeg"/><Relationship Id="rId41" Type="http://schemas.openxmlformats.org/officeDocument/2006/relationships/image" Target="../media/image164.jpeg"/><Relationship Id="rId54" Type="http://schemas.openxmlformats.org/officeDocument/2006/relationships/image" Target="../media/image176.jpeg"/><Relationship Id="rId62" Type="http://schemas.openxmlformats.org/officeDocument/2006/relationships/image" Target="../media/image184.jpeg"/><Relationship Id="rId70" Type="http://schemas.openxmlformats.org/officeDocument/2006/relationships/image" Target="../media/image192.jpeg"/><Relationship Id="rId75" Type="http://schemas.openxmlformats.org/officeDocument/2006/relationships/image" Target="../media/image197.jpeg"/><Relationship Id="rId83" Type="http://schemas.openxmlformats.org/officeDocument/2006/relationships/image" Target="../media/image204.jpeg"/><Relationship Id="rId88" Type="http://schemas.openxmlformats.org/officeDocument/2006/relationships/image" Target="../media/image209.jpeg"/><Relationship Id="rId91" Type="http://schemas.openxmlformats.org/officeDocument/2006/relationships/image" Target="../media/image212.jpeg"/><Relationship Id="rId96" Type="http://schemas.openxmlformats.org/officeDocument/2006/relationships/image" Target="../media/image217.jpeg"/><Relationship Id="rId111" Type="http://schemas.openxmlformats.org/officeDocument/2006/relationships/image" Target="../media/image232.jpeg"/><Relationship Id="rId1" Type="http://schemas.openxmlformats.org/officeDocument/2006/relationships/image" Target="../media/image127.jpeg"/><Relationship Id="rId6" Type="http://schemas.openxmlformats.org/officeDocument/2006/relationships/image" Target="../media/image132.jpeg"/><Relationship Id="rId15" Type="http://schemas.openxmlformats.org/officeDocument/2006/relationships/image" Target="../media/image141.jpeg"/><Relationship Id="rId23" Type="http://schemas.openxmlformats.org/officeDocument/2006/relationships/image" Target="../media/image146.jpeg"/><Relationship Id="rId28" Type="http://schemas.openxmlformats.org/officeDocument/2006/relationships/image" Target="../media/image151.jpeg"/><Relationship Id="rId36" Type="http://schemas.openxmlformats.org/officeDocument/2006/relationships/image" Target="../media/image159.jpeg"/><Relationship Id="rId49" Type="http://schemas.openxmlformats.org/officeDocument/2006/relationships/image" Target="../media/image172.jpeg"/><Relationship Id="rId57" Type="http://schemas.openxmlformats.org/officeDocument/2006/relationships/image" Target="../media/image179.jpeg"/><Relationship Id="rId106" Type="http://schemas.openxmlformats.org/officeDocument/2006/relationships/image" Target="../media/image227.jpeg"/><Relationship Id="rId114" Type="http://schemas.openxmlformats.org/officeDocument/2006/relationships/image" Target="../media/image235.jpeg"/><Relationship Id="rId10" Type="http://schemas.openxmlformats.org/officeDocument/2006/relationships/image" Target="../media/image136.jpeg"/><Relationship Id="rId31" Type="http://schemas.openxmlformats.org/officeDocument/2006/relationships/image" Target="../media/image154.jpeg"/><Relationship Id="rId44" Type="http://schemas.openxmlformats.org/officeDocument/2006/relationships/image" Target="../media/image167.jpeg"/><Relationship Id="rId52" Type="http://schemas.openxmlformats.org/officeDocument/2006/relationships/image" Target="../media/image174.jpeg"/><Relationship Id="rId60" Type="http://schemas.openxmlformats.org/officeDocument/2006/relationships/image" Target="../media/image182.jpeg"/><Relationship Id="rId65" Type="http://schemas.openxmlformats.org/officeDocument/2006/relationships/image" Target="../media/image187.jpeg"/><Relationship Id="rId73" Type="http://schemas.openxmlformats.org/officeDocument/2006/relationships/image" Target="../media/image195.jpeg"/><Relationship Id="rId78" Type="http://schemas.openxmlformats.org/officeDocument/2006/relationships/image" Target="../media/image199.jpeg"/><Relationship Id="rId81" Type="http://schemas.openxmlformats.org/officeDocument/2006/relationships/image" Target="../media/image202.jpeg"/><Relationship Id="rId86" Type="http://schemas.openxmlformats.org/officeDocument/2006/relationships/image" Target="../media/image207.jpeg"/><Relationship Id="rId94" Type="http://schemas.openxmlformats.org/officeDocument/2006/relationships/image" Target="../media/image215.jpeg"/><Relationship Id="rId99" Type="http://schemas.openxmlformats.org/officeDocument/2006/relationships/image" Target="../media/image220.jpeg"/><Relationship Id="rId101" Type="http://schemas.openxmlformats.org/officeDocument/2006/relationships/image" Target="../media/image222.jpeg"/><Relationship Id="rId4" Type="http://schemas.openxmlformats.org/officeDocument/2006/relationships/image" Target="../media/image130.jpeg"/><Relationship Id="rId9" Type="http://schemas.openxmlformats.org/officeDocument/2006/relationships/image" Target="../media/image135.jpeg"/><Relationship Id="rId13" Type="http://schemas.openxmlformats.org/officeDocument/2006/relationships/image" Target="../media/image139.jpeg"/><Relationship Id="rId18" Type="http://schemas.openxmlformats.org/officeDocument/2006/relationships/image" Target="../media/image144.jpeg"/><Relationship Id="rId39" Type="http://schemas.openxmlformats.org/officeDocument/2006/relationships/image" Target="../media/image162.jpeg"/><Relationship Id="rId109" Type="http://schemas.openxmlformats.org/officeDocument/2006/relationships/image" Target="../media/image230.jpeg"/><Relationship Id="rId34" Type="http://schemas.openxmlformats.org/officeDocument/2006/relationships/image" Target="../media/image157.jpeg"/><Relationship Id="rId50" Type="http://schemas.openxmlformats.org/officeDocument/2006/relationships/image" Target="../media/image173.jpeg"/><Relationship Id="rId55" Type="http://schemas.openxmlformats.org/officeDocument/2006/relationships/image" Target="../media/image177.jpeg"/><Relationship Id="rId76" Type="http://schemas.openxmlformats.org/officeDocument/2006/relationships/image" Target="../media/image66.png"/><Relationship Id="rId97" Type="http://schemas.openxmlformats.org/officeDocument/2006/relationships/image" Target="../media/image218.jpeg"/><Relationship Id="rId104" Type="http://schemas.openxmlformats.org/officeDocument/2006/relationships/image" Target="../media/image225.jpeg"/><Relationship Id="rId7" Type="http://schemas.openxmlformats.org/officeDocument/2006/relationships/image" Target="../media/image133.jpeg"/><Relationship Id="rId71" Type="http://schemas.openxmlformats.org/officeDocument/2006/relationships/image" Target="../media/image193.jpeg"/><Relationship Id="rId92" Type="http://schemas.openxmlformats.org/officeDocument/2006/relationships/image" Target="../media/image213.jpeg"/><Relationship Id="rId2" Type="http://schemas.openxmlformats.org/officeDocument/2006/relationships/image" Target="../media/image128.jpeg"/><Relationship Id="rId29" Type="http://schemas.openxmlformats.org/officeDocument/2006/relationships/image" Target="../media/image15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65</xdr:row>
      <xdr:rowOff>7620</xdr:rowOff>
    </xdr:from>
    <xdr:to>
      <xdr:col>2</xdr:col>
      <xdr:colOff>0</xdr:colOff>
      <xdr:row>65</xdr:row>
      <xdr:rowOff>716280</xdr:rowOff>
    </xdr:to>
    <xdr:pic>
      <xdr:nvPicPr>
        <xdr:cNvPr id="7397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3925062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2</xdr:col>
      <xdr:colOff>0</xdr:colOff>
      <xdr:row>198</xdr:row>
      <xdr:rowOff>236220</xdr:rowOff>
    </xdr:to>
    <xdr:pic>
      <xdr:nvPicPr>
        <xdr:cNvPr id="73976" name="Рисунок 918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9417558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199</xdr:row>
      <xdr:rowOff>0</xdr:rowOff>
    </xdr:from>
    <xdr:to>
      <xdr:col>2</xdr:col>
      <xdr:colOff>0</xdr:colOff>
      <xdr:row>201</xdr:row>
      <xdr:rowOff>236219</xdr:rowOff>
    </xdr:to>
    <xdr:pic>
      <xdr:nvPicPr>
        <xdr:cNvPr id="73977" name="Рисунок 919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9489186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202</xdr:row>
      <xdr:rowOff>0</xdr:rowOff>
    </xdr:from>
    <xdr:to>
      <xdr:col>2</xdr:col>
      <xdr:colOff>0</xdr:colOff>
      <xdr:row>205</xdr:row>
      <xdr:rowOff>0</xdr:rowOff>
    </xdr:to>
    <xdr:pic>
      <xdr:nvPicPr>
        <xdr:cNvPr id="73978" name="Рисунок 919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9560814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205</xdr:row>
      <xdr:rowOff>7620</xdr:rowOff>
    </xdr:from>
    <xdr:to>
      <xdr:col>1</xdr:col>
      <xdr:colOff>1592580</xdr:colOff>
      <xdr:row>207</xdr:row>
      <xdr:rowOff>236220</xdr:rowOff>
    </xdr:to>
    <xdr:pic>
      <xdr:nvPicPr>
        <xdr:cNvPr id="73979" name="Рисунок 919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96339660"/>
          <a:ext cx="15849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2</xdr:col>
      <xdr:colOff>0</xdr:colOff>
      <xdr:row>210</xdr:row>
      <xdr:rowOff>0</xdr:rowOff>
    </xdr:to>
    <xdr:pic>
      <xdr:nvPicPr>
        <xdr:cNvPr id="73980" name="Рисунок 920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97254060"/>
          <a:ext cx="160020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210</xdr:row>
      <xdr:rowOff>7620</xdr:rowOff>
    </xdr:from>
    <xdr:to>
      <xdr:col>2</xdr:col>
      <xdr:colOff>0</xdr:colOff>
      <xdr:row>210</xdr:row>
      <xdr:rowOff>525780</xdr:rowOff>
    </xdr:to>
    <xdr:pic>
      <xdr:nvPicPr>
        <xdr:cNvPr id="73981" name="Рисунок 920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97779840"/>
          <a:ext cx="159258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213</xdr:row>
      <xdr:rowOff>0</xdr:rowOff>
    </xdr:from>
    <xdr:to>
      <xdr:col>2</xdr:col>
      <xdr:colOff>0</xdr:colOff>
      <xdr:row>214</xdr:row>
      <xdr:rowOff>930</xdr:rowOff>
    </xdr:to>
    <xdr:pic>
      <xdr:nvPicPr>
        <xdr:cNvPr id="73982" name="Рисунок 922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9870186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2</xdr:col>
      <xdr:colOff>0</xdr:colOff>
      <xdr:row>215</xdr:row>
      <xdr:rowOff>7622</xdr:rowOff>
    </xdr:to>
    <xdr:pic>
      <xdr:nvPicPr>
        <xdr:cNvPr id="73983" name="Рисунок 92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99425760"/>
          <a:ext cx="16002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215</xdr:row>
      <xdr:rowOff>7620</xdr:rowOff>
    </xdr:from>
    <xdr:to>
      <xdr:col>2</xdr:col>
      <xdr:colOff>0</xdr:colOff>
      <xdr:row>216</xdr:row>
      <xdr:rowOff>-1</xdr:rowOff>
    </xdr:to>
    <xdr:pic>
      <xdr:nvPicPr>
        <xdr:cNvPr id="73984" name="Рисунок 923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10015728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216</xdr:row>
      <xdr:rowOff>7620</xdr:rowOff>
    </xdr:from>
    <xdr:to>
      <xdr:col>2</xdr:col>
      <xdr:colOff>0</xdr:colOff>
      <xdr:row>217</xdr:row>
      <xdr:rowOff>1</xdr:rowOff>
    </xdr:to>
    <xdr:pic>
      <xdr:nvPicPr>
        <xdr:cNvPr id="73985" name="Рисунок 923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10088118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217</xdr:row>
      <xdr:rowOff>0</xdr:rowOff>
    </xdr:from>
    <xdr:to>
      <xdr:col>2</xdr:col>
      <xdr:colOff>0</xdr:colOff>
      <xdr:row>217</xdr:row>
      <xdr:rowOff>716280</xdr:rowOff>
    </xdr:to>
    <xdr:pic>
      <xdr:nvPicPr>
        <xdr:cNvPr id="73986" name="Рисунок 923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015974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194</xdr:row>
      <xdr:rowOff>7620</xdr:rowOff>
    </xdr:from>
    <xdr:to>
      <xdr:col>2</xdr:col>
      <xdr:colOff>0</xdr:colOff>
      <xdr:row>194</xdr:row>
      <xdr:rowOff>601980</xdr:rowOff>
    </xdr:to>
    <xdr:pic>
      <xdr:nvPicPr>
        <xdr:cNvPr id="73987" name="Рисунок 92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93383100"/>
          <a:ext cx="160020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184</xdr:row>
      <xdr:rowOff>190500</xdr:rowOff>
    </xdr:from>
    <xdr:to>
      <xdr:col>1</xdr:col>
      <xdr:colOff>1363980</xdr:colOff>
      <xdr:row>184</xdr:row>
      <xdr:rowOff>693420</xdr:rowOff>
    </xdr:to>
    <xdr:pic>
      <xdr:nvPicPr>
        <xdr:cNvPr id="73988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1020" y="88559640"/>
          <a:ext cx="11582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7620</xdr:rowOff>
    </xdr:from>
    <xdr:to>
      <xdr:col>2</xdr:col>
      <xdr:colOff>0</xdr:colOff>
      <xdr:row>40</xdr:row>
      <xdr:rowOff>716280</xdr:rowOff>
    </xdr:to>
    <xdr:pic>
      <xdr:nvPicPr>
        <xdr:cNvPr id="73989" name="Рисунок 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2323338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41</xdr:row>
      <xdr:rowOff>0</xdr:rowOff>
    </xdr:from>
    <xdr:to>
      <xdr:col>2</xdr:col>
      <xdr:colOff>0</xdr:colOff>
      <xdr:row>41</xdr:row>
      <xdr:rowOff>716280</xdr:rowOff>
    </xdr:to>
    <xdr:pic>
      <xdr:nvPicPr>
        <xdr:cNvPr id="73990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239496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0</xdr:rowOff>
    </xdr:from>
    <xdr:to>
      <xdr:col>1</xdr:col>
      <xdr:colOff>1584960</xdr:colOff>
      <xdr:row>45</xdr:row>
      <xdr:rowOff>716280</xdr:rowOff>
    </xdr:to>
    <xdr:pic>
      <xdr:nvPicPr>
        <xdr:cNvPr id="73991" name="Рисунок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26311860"/>
          <a:ext cx="15773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73992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2703576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224</xdr:row>
      <xdr:rowOff>7620</xdr:rowOff>
    </xdr:from>
    <xdr:to>
      <xdr:col>1</xdr:col>
      <xdr:colOff>1577340</xdr:colOff>
      <xdr:row>224</xdr:row>
      <xdr:rowOff>594360</xdr:rowOff>
    </xdr:to>
    <xdr:pic>
      <xdr:nvPicPr>
        <xdr:cNvPr id="73993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3860" y="104447340"/>
          <a:ext cx="150876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223</xdr:row>
      <xdr:rowOff>7620</xdr:rowOff>
    </xdr:from>
    <xdr:to>
      <xdr:col>1</xdr:col>
      <xdr:colOff>1562100</xdr:colOff>
      <xdr:row>223</xdr:row>
      <xdr:rowOff>624840</xdr:rowOff>
    </xdr:to>
    <xdr:pic>
      <xdr:nvPicPr>
        <xdr:cNvPr id="73994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3860" y="103799640"/>
          <a:ext cx="14935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251460</xdr:colOff>
      <xdr:row>186</xdr:row>
      <xdr:rowOff>198120</xdr:rowOff>
    </xdr:from>
    <xdr:to>
      <xdr:col>1</xdr:col>
      <xdr:colOff>1341120</xdr:colOff>
      <xdr:row>186</xdr:row>
      <xdr:rowOff>693420</xdr:rowOff>
    </xdr:to>
    <xdr:pic>
      <xdr:nvPicPr>
        <xdr:cNvPr id="73995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6740" y="90091260"/>
          <a:ext cx="108966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44</xdr:row>
      <xdr:rowOff>7620</xdr:rowOff>
    </xdr:from>
    <xdr:to>
      <xdr:col>1</xdr:col>
      <xdr:colOff>1584960</xdr:colOff>
      <xdr:row>44</xdr:row>
      <xdr:rowOff>701040</xdr:rowOff>
    </xdr:to>
    <xdr:pic>
      <xdr:nvPicPr>
        <xdr:cNvPr id="73996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25595580"/>
          <a:ext cx="15773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220</xdr:row>
      <xdr:rowOff>15240</xdr:rowOff>
    </xdr:from>
    <xdr:to>
      <xdr:col>1</xdr:col>
      <xdr:colOff>1539240</xdr:colOff>
      <xdr:row>220</xdr:row>
      <xdr:rowOff>632460</xdr:rowOff>
    </xdr:to>
    <xdr:pic>
      <xdr:nvPicPr>
        <xdr:cNvPr id="73997" name="Рисунок 384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102740460"/>
          <a:ext cx="14935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</xdr:row>
      <xdr:rowOff>7620</xdr:rowOff>
    </xdr:from>
    <xdr:to>
      <xdr:col>1</xdr:col>
      <xdr:colOff>1584960</xdr:colOff>
      <xdr:row>14</xdr:row>
      <xdr:rowOff>701040</xdr:rowOff>
    </xdr:to>
    <xdr:pic>
      <xdr:nvPicPr>
        <xdr:cNvPr id="73998" name="Рисунок 1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5745480"/>
          <a:ext cx="15773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17</xdr:row>
      <xdr:rowOff>7620</xdr:rowOff>
    </xdr:from>
    <xdr:to>
      <xdr:col>1</xdr:col>
      <xdr:colOff>1584960</xdr:colOff>
      <xdr:row>17</xdr:row>
      <xdr:rowOff>708660</xdr:rowOff>
    </xdr:to>
    <xdr:pic>
      <xdr:nvPicPr>
        <xdr:cNvPr id="73999" name="Рисунок 1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15366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</xdr:row>
      <xdr:rowOff>0</xdr:rowOff>
    </xdr:from>
    <xdr:to>
      <xdr:col>2</xdr:col>
      <xdr:colOff>0</xdr:colOff>
      <xdr:row>16</xdr:row>
      <xdr:rowOff>716280</xdr:rowOff>
    </xdr:to>
    <xdr:pic>
      <xdr:nvPicPr>
        <xdr:cNvPr id="74001" name="Рисунок 1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93573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323849</xdr:colOff>
      <xdr:row>23</xdr:row>
      <xdr:rowOff>30480</xdr:rowOff>
    </xdr:from>
    <xdr:to>
      <xdr:col>2</xdr:col>
      <xdr:colOff>0</xdr:colOff>
      <xdr:row>24</xdr:row>
      <xdr:rowOff>0</xdr:rowOff>
    </xdr:to>
    <xdr:pic>
      <xdr:nvPicPr>
        <xdr:cNvPr id="74004" name="Рисунок 1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49" y="12276909"/>
          <a:ext cx="1621972" cy="690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24</xdr:row>
      <xdr:rowOff>7620</xdr:rowOff>
    </xdr:from>
    <xdr:to>
      <xdr:col>2</xdr:col>
      <xdr:colOff>0</xdr:colOff>
      <xdr:row>24</xdr:row>
      <xdr:rowOff>716280</xdr:rowOff>
    </xdr:to>
    <xdr:pic>
      <xdr:nvPicPr>
        <xdr:cNvPr id="74005" name="Рисунок 1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298448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26</xdr:row>
      <xdr:rowOff>0</xdr:rowOff>
    </xdr:from>
    <xdr:to>
      <xdr:col>1</xdr:col>
      <xdr:colOff>1584960</xdr:colOff>
      <xdr:row>26</xdr:row>
      <xdr:rowOff>701040</xdr:rowOff>
    </xdr:to>
    <xdr:pic>
      <xdr:nvPicPr>
        <xdr:cNvPr id="74007" name="Рисунок 2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442466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33</xdr:row>
      <xdr:rowOff>7620</xdr:rowOff>
    </xdr:from>
    <xdr:to>
      <xdr:col>2</xdr:col>
      <xdr:colOff>0</xdr:colOff>
      <xdr:row>33</xdr:row>
      <xdr:rowOff>693420</xdr:rowOff>
    </xdr:to>
    <xdr:pic>
      <xdr:nvPicPr>
        <xdr:cNvPr id="74008" name="Рисунок 2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140" y="18562320"/>
          <a:ext cx="15773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74009" name="Рисунок 2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20025360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37</xdr:row>
      <xdr:rowOff>7620</xdr:rowOff>
    </xdr:from>
    <xdr:to>
      <xdr:col>2</xdr:col>
      <xdr:colOff>0</xdr:colOff>
      <xdr:row>37</xdr:row>
      <xdr:rowOff>731520</xdr:rowOff>
    </xdr:to>
    <xdr:pic>
      <xdr:nvPicPr>
        <xdr:cNvPr id="74010" name="Рисунок 2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2155698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36</xdr:row>
      <xdr:rowOff>0</xdr:rowOff>
    </xdr:from>
    <xdr:to>
      <xdr:col>1</xdr:col>
      <xdr:colOff>1592580</xdr:colOff>
      <xdr:row>37</xdr:row>
      <xdr:rowOff>0</xdr:rowOff>
    </xdr:to>
    <xdr:pic>
      <xdr:nvPicPr>
        <xdr:cNvPr id="74011" name="Рисунок 2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20787360"/>
          <a:ext cx="158496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34</xdr:row>
      <xdr:rowOff>0</xdr:rowOff>
    </xdr:from>
    <xdr:to>
      <xdr:col>1</xdr:col>
      <xdr:colOff>1584960</xdr:colOff>
      <xdr:row>34</xdr:row>
      <xdr:rowOff>754380</xdr:rowOff>
    </xdr:to>
    <xdr:pic>
      <xdr:nvPicPr>
        <xdr:cNvPr id="74012" name="Рисунок 2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9263360"/>
          <a:ext cx="157734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39</xdr:row>
      <xdr:rowOff>7620</xdr:rowOff>
    </xdr:from>
    <xdr:to>
      <xdr:col>1</xdr:col>
      <xdr:colOff>1592580</xdr:colOff>
      <xdr:row>40</xdr:row>
      <xdr:rowOff>0</xdr:rowOff>
    </xdr:to>
    <xdr:pic>
      <xdr:nvPicPr>
        <xdr:cNvPr id="74013" name="Рисунок 2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22509480"/>
          <a:ext cx="15849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43</xdr:row>
      <xdr:rowOff>7620</xdr:rowOff>
    </xdr:from>
    <xdr:to>
      <xdr:col>2</xdr:col>
      <xdr:colOff>0</xdr:colOff>
      <xdr:row>43</xdr:row>
      <xdr:rowOff>716280</xdr:rowOff>
    </xdr:to>
    <xdr:pic>
      <xdr:nvPicPr>
        <xdr:cNvPr id="74014" name="Рисунок 2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140" y="24871680"/>
          <a:ext cx="15773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47</xdr:row>
      <xdr:rowOff>7620</xdr:rowOff>
    </xdr:from>
    <xdr:to>
      <xdr:col>2</xdr:col>
      <xdr:colOff>0</xdr:colOff>
      <xdr:row>48</xdr:row>
      <xdr:rowOff>0</xdr:rowOff>
    </xdr:to>
    <xdr:pic>
      <xdr:nvPicPr>
        <xdr:cNvPr id="74015" name="Рисунок 2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2776728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48</xdr:row>
      <xdr:rowOff>7620</xdr:rowOff>
    </xdr:from>
    <xdr:to>
      <xdr:col>1</xdr:col>
      <xdr:colOff>1584960</xdr:colOff>
      <xdr:row>48</xdr:row>
      <xdr:rowOff>708660</xdr:rowOff>
    </xdr:to>
    <xdr:pic>
      <xdr:nvPicPr>
        <xdr:cNvPr id="74016" name="Рисунок 3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284911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50</xdr:row>
      <xdr:rowOff>716280</xdr:rowOff>
    </xdr:to>
    <xdr:pic>
      <xdr:nvPicPr>
        <xdr:cNvPr id="74017" name="Рисунок 3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2939796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1</xdr:col>
      <xdr:colOff>1584960</xdr:colOff>
      <xdr:row>51</xdr:row>
      <xdr:rowOff>708660</xdr:rowOff>
    </xdr:to>
    <xdr:pic>
      <xdr:nvPicPr>
        <xdr:cNvPr id="74018" name="Рисунок 3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301294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74019" name="Рисунок 12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-66"/>
        <a:stretch>
          <a:fillRect/>
        </a:stretch>
      </xdr:blipFill>
      <xdr:spPr bwMode="auto">
        <a:xfrm>
          <a:off x="335280" y="3543300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0</xdr:rowOff>
    </xdr:from>
    <xdr:to>
      <xdr:col>2</xdr:col>
      <xdr:colOff>0</xdr:colOff>
      <xdr:row>53</xdr:row>
      <xdr:rowOff>716280</xdr:rowOff>
    </xdr:to>
    <xdr:pic>
      <xdr:nvPicPr>
        <xdr:cNvPr id="74020" name="Рисунок 3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310896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61</xdr:row>
      <xdr:rowOff>7620</xdr:rowOff>
    </xdr:from>
    <xdr:to>
      <xdr:col>2</xdr:col>
      <xdr:colOff>0</xdr:colOff>
      <xdr:row>62</xdr:row>
      <xdr:rowOff>7620</xdr:rowOff>
    </xdr:to>
    <xdr:pic>
      <xdr:nvPicPr>
        <xdr:cNvPr id="74021" name="Рисунок 3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0520" y="36888420"/>
          <a:ext cx="15849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55</xdr:row>
      <xdr:rowOff>7620</xdr:rowOff>
    </xdr:from>
    <xdr:to>
      <xdr:col>2</xdr:col>
      <xdr:colOff>0</xdr:colOff>
      <xdr:row>56</xdr:row>
      <xdr:rowOff>7620</xdr:rowOff>
    </xdr:to>
    <xdr:pic>
      <xdr:nvPicPr>
        <xdr:cNvPr id="74022" name="Рисунок 13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3254502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58</xdr:row>
      <xdr:rowOff>7620</xdr:rowOff>
    </xdr:from>
    <xdr:to>
      <xdr:col>1</xdr:col>
      <xdr:colOff>1592580</xdr:colOff>
      <xdr:row>59</xdr:row>
      <xdr:rowOff>7620</xdr:rowOff>
    </xdr:to>
    <xdr:pic>
      <xdr:nvPicPr>
        <xdr:cNvPr id="74023" name="Рисунок 3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7660" y="3471672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60</xdr:row>
      <xdr:rowOff>0</xdr:rowOff>
    </xdr:from>
    <xdr:to>
      <xdr:col>1</xdr:col>
      <xdr:colOff>1584960</xdr:colOff>
      <xdr:row>60</xdr:row>
      <xdr:rowOff>716280</xdr:rowOff>
    </xdr:to>
    <xdr:pic>
      <xdr:nvPicPr>
        <xdr:cNvPr id="74024" name="Рисунок 4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36156900"/>
          <a:ext cx="15773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54</xdr:row>
      <xdr:rowOff>0</xdr:rowOff>
    </xdr:from>
    <xdr:to>
      <xdr:col>2</xdr:col>
      <xdr:colOff>0</xdr:colOff>
      <xdr:row>54</xdr:row>
      <xdr:rowOff>716280</xdr:rowOff>
    </xdr:to>
    <xdr:pic>
      <xdr:nvPicPr>
        <xdr:cNvPr id="74025" name="Рисунок 4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318135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7620</xdr:rowOff>
    </xdr:from>
    <xdr:to>
      <xdr:col>1</xdr:col>
      <xdr:colOff>1592580</xdr:colOff>
      <xdr:row>58</xdr:row>
      <xdr:rowOff>0</xdr:rowOff>
    </xdr:to>
    <xdr:pic>
      <xdr:nvPicPr>
        <xdr:cNvPr id="74026" name="Рисунок 4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33992820"/>
          <a:ext cx="15849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62</xdr:row>
      <xdr:rowOff>0</xdr:rowOff>
    </xdr:from>
    <xdr:to>
      <xdr:col>1</xdr:col>
      <xdr:colOff>1592580</xdr:colOff>
      <xdr:row>63</xdr:row>
      <xdr:rowOff>7620</xdr:rowOff>
    </xdr:to>
    <xdr:pic>
      <xdr:nvPicPr>
        <xdr:cNvPr id="74027" name="Рисунок 4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37604700"/>
          <a:ext cx="15849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63</xdr:row>
      <xdr:rowOff>0</xdr:rowOff>
    </xdr:from>
    <xdr:to>
      <xdr:col>2</xdr:col>
      <xdr:colOff>0</xdr:colOff>
      <xdr:row>63</xdr:row>
      <xdr:rowOff>716280</xdr:rowOff>
    </xdr:to>
    <xdr:pic>
      <xdr:nvPicPr>
        <xdr:cNvPr id="74028" name="Рисунок 4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383286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67</xdr:row>
      <xdr:rowOff>7620</xdr:rowOff>
    </xdr:from>
    <xdr:to>
      <xdr:col>2</xdr:col>
      <xdr:colOff>0</xdr:colOff>
      <xdr:row>68</xdr:row>
      <xdr:rowOff>373380</xdr:rowOff>
    </xdr:to>
    <xdr:pic>
      <xdr:nvPicPr>
        <xdr:cNvPr id="74029" name="Рисунок 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4016502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69</xdr:row>
      <xdr:rowOff>7620</xdr:rowOff>
    </xdr:from>
    <xdr:to>
      <xdr:col>2</xdr:col>
      <xdr:colOff>0</xdr:colOff>
      <xdr:row>70</xdr:row>
      <xdr:rowOff>358140</xdr:rowOff>
    </xdr:to>
    <xdr:pic>
      <xdr:nvPicPr>
        <xdr:cNvPr id="74030" name="Рисунок 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40927020"/>
          <a:ext cx="15925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71</xdr:row>
      <xdr:rowOff>7620</xdr:rowOff>
    </xdr:from>
    <xdr:to>
      <xdr:col>1</xdr:col>
      <xdr:colOff>1592580</xdr:colOff>
      <xdr:row>73</xdr:row>
      <xdr:rowOff>0</xdr:rowOff>
    </xdr:to>
    <xdr:pic>
      <xdr:nvPicPr>
        <xdr:cNvPr id="74031" name="Рисунок 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41689020"/>
          <a:ext cx="158496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0</xdr:rowOff>
    </xdr:from>
    <xdr:to>
      <xdr:col>2</xdr:col>
      <xdr:colOff>0</xdr:colOff>
      <xdr:row>74</xdr:row>
      <xdr:rowOff>373380</xdr:rowOff>
    </xdr:to>
    <xdr:pic>
      <xdr:nvPicPr>
        <xdr:cNvPr id="74032" name="Рисунок 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424434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89</xdr:row>
      <xdr:rowOff>0</xdr:rowOff>
    </xdr:from>
    <xdr:to>
      <xdr:col>2</xdr:col>
      <xdr:colOff>0</xdr:colOff>
      <xdr:row>91</xdr:row>
      <xdr:rowOff>0</xdr:rowOff>
    </xdr:to>
    <xdr:pic>
      <xdr:nvPicPr>
        <xdr:cNvPr id="74033" name="Рисунок 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48455580"/>
          <a:ext cx="159258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87</xdr:row>
      <xdr:rowOff>7620</xdr:rowOff>
    </xdr:from>
    <xdr:to>
      <xdr:col>2</xdr:col>
      <xdr:colOff>0</xdr:colOff>
      <xdr:row>88</xdr:row>
      <xdr:rowOff>373380</xdr:rowOff>
    </xdr:to>
    <xdr:pic>
      <xdr:nvPicPr>
        <xdr:cNvPr id="74034" name="Рисунок 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47701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85</xdr:row>
      <xdr:rowOff>0</xdr:rowOff>
    </xdr:from>
    <xdr:to>
      <xdr:col>2</xdr:col>
      <xdr:colOff>0</xdr:colOff>
      <xdr:row>86</xdr:row>
      <xdr:rowOff>378599</xdr:rowOff>
    </xdr:to>
    <xdr:pic>
      <xdr:nvPicPr>
        <xdr:cNvPr id="74035" name="Рисунок 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140" y="46931580"/>
          <a:ext cx="15773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75</xdr:row>
      <xdr:rowOff>7620</xdr:rowOff>
    </xdr:from>
    <xdr:to>
      <xdr:col>2</xdr:col>
      <xdr:colOff>0</xdr:colOff>
      <xdr:row>77</xdr:row>
      <xdr:rowOff>0</xdr:rowOff>
    </xdr:to>
    <xdr:pic>
      <xdr:nvPicPr>
        <xdr:cNvPr id="74036" name="Рисунок 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140" y="43213020"/>
          <a:ext cx="15773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17780</xdr:colOff>
      <xdr:row>77</xdr:row>
      <xdr:rowOff>7620</xdr:rowOff>
    </xdr:from>
    <xdr:to>
      <xdr:col>2</xdr:col>
      <xdr:colOff>10160</xdr:colOff>
      <xdr:row>78</xdr:row>
      <xdr:rowOff>373380</xdr:rowOff>
    </xdr:to>
    <xdr:pic>
      <xdr:nvPicPr>
        <xdr:cNvPr id="74037" name="Рисунок 1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3060" y="4389882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91</xdr:row>
      <xdr:rowOff>7620</xdr:rowOff>
    </xdr:from>
    <xdr:to>
      <xdr:col>2</xdr:col>
      <xdr:colOff>0</xdr:colOff>
      <xdr:row>93</xdr:row>
      <xdr:rowOff>0</xdr:rowOff>
    </xdr:to>
    <xdr:pic>
      <xdr:nvPicPr>
        <xdr:cNvPr id="74038" name="Рисунок 1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492252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1</xdr:col>
      <xdr:colOff>1592580</xdr:colOff>
      <xdr:row>94</xdr:row>
      <xdr:rowOff>373380</xdr:rowOff>
    </xdr:to>
    <xdr:pic>
      <xdr:nvPicPr>
        <xdr:cNvPr id="74039" name="Рисунок 1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49987200"/>
          <a:ext cx="15849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99</xdr:row>
      <xdr:rowOff>7620</xdr:rowOff>
    </xdr:from>
    <xdr:to>
      <xdr:col>2</xdr:col>
      <xdr:colOff>0</xdr:colOff>
      <xdr:row>100</xdr:row>
      <xdr:rowOff>373380</xdr:rowOff>
    </xdr:to>
    <xdr:pic>
      <xdr:nvPicPr>
        <xdr:cNvPr id="74040" name="Рисунок 1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51511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7620</xdr:rowOff>
    </xdr:from>
    <xdr:to>
      <xdr:col>2</xdr:col>
      <xdr:colOff>0</xdr:colOff>
      <xdr:row>99</xdr:row>
      <xdr:rowOff>0</xdr:rowOff>
    </xdr:to>
    <xdr:pic>
      <xdr:nvPicPr>
        <xdr:cNvPr id="74041" name="Рисунок 1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50749200"/>
          <a:ext cx="16002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106</xdr:row>
      <xdr:rowOff>7620</xdr:rowOff>
    </xdr:from>
    <xdr:to>
      <xdr:col>2</xdr:col>
      <xdr:colOff>0</xdr:colOff>
      <xdr:row>106</xdr:row>
      <xdr:rowOff>574109</xdr:rowOff>
    </xdr:to>
    <xdr:pic>
      <xdr:nvPicPr>
        <xdr:cNvPr id="74042" name="Рисунок 112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53637180"/>
          <a:ext cx="15925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105</xdr:row>
      <xdr:rowOff>7620</xdr:rowOff>
    </xdr:from>
    <xdr:to>
      <xdr:col>2</xdr:col>
      <xdr:colOff>0</xdr:colOff>
      <xdr:row>106</xdr:row>
      <xdr:rowOff>7621</xdr:rowOff>
    </xdr:to>
    <xdr:pic>
      <xdr:nvPicPr>
        <xdr:cNvPr id="74043" name="Рисунок 113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53058060"/>
          <a:ext cx="159258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7620</xdr:rowOff>
    </xdr:from>
    <xdr:to>
      <xdr:col>2</xdr:col>
      <xdr:colOff>0</xdr:colOff>
      <xdr:row>80</xdr:row>
      <xdr:rowOff>358140</xdr:rowOff>
    </xdr:to>
    <xdr:pic>
      <xdr:nvPicPr>
        <xdr:cNvPr id="74044" name="Рисунок 1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12" b="-23"/>
        <a:stretch>
          <a:fillRect/>
        </a:stretch>
      </xdr:blipFill>
      <xdr:spPr bwMode="auto">
        <a:xfrm>
          <a:off x="342900" y="4469130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104</xdr:row>
      <xdr:rowOff>7620</xdr:rowOff>
    </xdr:from>
    <xdr:to>
      <xdr:col>2</xdr:col>
      <xdr:colOff>0</xdr:colOff>
      <xdr:row>105</xdr:row>
      <xdr:rowOff>0</xdr:rowOff>
    </xdr:to>
    <xdr:pic>
      <xdr:nvPicPr>
        <xdr:cNvPr id="74045" name="Рисунок 11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52478940"/>
          <a:ext cx="15925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2</xdr:col>
      <xdr:colOff>0</xdr:colOff>
      <xdr:row>82</xdr:row>
      <xdr:rowOff>373380</xdr:rowOff>
    </xdr:to>
    <xdr:pic>
      <xdr:nvPicPr>
        <xdr:cNvPr id="74046" name="Рисунок 1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45407580"/>
          <a:ext cx="16002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83</xdr:row>
      <xdr:rowOff>7620</xdr:rowOff>
    </xdr:from>
    <xdr:to>
      <xdr:col>2</xdr:col>
      <xdr:colOff>0</xdr:colOff>
      <xdr:row>84</xdr:row>
      <xdr:rowOff>373380</xdr:rowOff>
    </xdr:to>
    <xdr:pic>
      <xdr:nvPicPr>
        <xdr:cNvPr id="74047" name="Рисунок 1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46177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2</xdr:col>
      <xdr:colOff>0</xdr:colOff>
      <xdr:row>109</xdr:row>
      <xdr:rowOff>30480</xdr:rowOff>
    </xdr:to>
    <xdr:pic>
      <xdr:nvPicPr>
        <xdr:cNvPr id="74048" name="Рисунок 118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55626000"/>
          <a:ext cx="1605280" cy="61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125</xdr:row>
      <xdr:rowOff>7620</xdr:rowOff>
    </xdr:from>
    <xdr:to>
      <xdr:col>2</xdr:col>
      <xdr:colOff>0</xdr:colOff>
      <xdr:row>130</xdr:row>
      <xdr:rowOff>7620</xdr:rowOff>
    </xdr:to>
    <xdr:pic>
      <xdr:nvPicPr>
        <xdr:cNvPr id="74049" name="Рисунок 2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62003940"/>
          <a:ext cx="159258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129</xdr:row>
      <xdr:rowOff>0</xdr:rowOff>
    </xdr:from>
    <xdr:to>
      <xdr:col>2</xdr:col>
      <xdr:colOff>0</xdr:colOff>
      <xdr:row>130</xdr:row>
      <xdr:rowOff>373380</xdr:rowOff>
    </xdr:to>
    <xdr:pic>
      <xdr:nvPicPr>
        <xdr:cNvPr id="74050" name="Рисунок 21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6312408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131</xdr:row>
      <xdr:rowOff>7620</xdr:rowOff>
    </xdr:from>
    <xdr:to>
      <xdr:col>2</xdr:col>
      <xdr:colOff>0</xdr:colOff>
      <xdr:row>132</xdr:row>
      <xdr:rowOff>378599</xdr:rowOff>
    </xdr:to>
    <xdr:pic>
      <xdr:nvPicPr>
        <xdr:cNvPr id="74051" name="Рисунок 22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638937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133</xdr:row>
      <xdr:rowOff>7620</xdr:rowOff>
    </xdr:from>
    <xdr:to>
      <xdr:col>2</xdr:col>
      <xdr:colOff>0</xdr:colOff>
      <xdr:row>134</xdr:row>
      <xdr:rowOff>373381</xdr:rowOff>
    </xdr:to>
    <xdr:pic>
      <xdr:nvPicPr>
        <xdr:cNvPr id="74052" name="Рисунок 23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646557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135</xdr:row>
      <xdr:rowOff>7620</xdr:rowOff>
    </xdr:from>
    <xdr:to>
      <xdr:col>2</xdr:col>
      <xdr:colOff>0</xdr:colOff>
      <xdr:row>136</xdr:row>
      <xdr:rowOff>373380</xdr:rowOff>
    </xdr:to>
    <xdr:pic>
      <xdr:nvPicPr>
        <xdr:cNvPr id="74053" name="Рисунок 24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654177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25784</xdr:colOff>
      <xdr:row>140</xdr:row>
      <xdr:rowOff>408662</xdr:rowOff>
    </xdr:from>
    <xdr:to>
      <xdr:col>2</xdr:col>
      <xdr:colOff>10439</xdr:colOff>
      <xdr:row>142</xdr:row>
      <xdr:rowOff>416282</xdr:rowOff>
    </xdr:to>
    <xdr:pic>
      <xdr:nvPicPr>
        <xdr:cNvPr id="74054" name="Рисунок 27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9811" y="81775648"/>
          <a:ext cx="1581724" cy="874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145</xdr:row>
      <xdr:rowOff>7620</xdr:rowOff>
    </xdr:from>
    <xdr:to>
      <xdr:col>2</xdr:col>
      <xdr:colOff>0</xdr:colOff>
      <xdr:row>147</xdr:row>
      <xdr:rowOff>373381</xdr:rowOff>
    </xdr:to>
    <xdr:pic>
      <xdr:nvPicPr>
        <xdr:cNvPr id="74055" name="Рисунок 29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68107560"/>
          <a:ext cx="1592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148</xdr:row>
      <xdr:rowOff>7620</xdr:rowOff>
    </xdr:from>
    <xdr:to>
      <xdr:col>2</xdr:col>
      <xdr:colOff>0</xdr:colOff>
      <xdr:row>150</xdr:row>
      <xdr:rowOff>0</xdr:rowOff>
    </xdr:to>
    <xdr:pic>
      <xdr:nvPicPr>
        <xdr:cNvPr id="74056" name="Рисунок 3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6925056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150</xdr:row>
      <xdr:rowOff>0</xdr:rowOff>
    </xdr:from>
    <xdr:to>
      <xdr:col>2</xdr:col>
      <xdr:colOff>0</xdr:colOff>
      <xdr:row>151</xdr:row>
      <xdr:rowOff>350519</xdr:rowOff>
    </xdr:to>
    <xdr:pic>
      <xdr:nvPicPr>
        <xdr:cNvPr id="74057" name="Рисунок 31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6995922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7620</xdr:rowOff>
    </xdr:from>
    <xdr:to>
      <xdr:col>2</xdr:col>
      <xdr:colOff>0</xdr:colOff>
      <xdr:row>154</xdr:row>
      <xdr:rowOff>1</xdr:rowOff>
    </xdr:to>
    <xdr:pic>
      <xdr:nvPicPr>
        <xdr:cNvPr id="74058" name="Рисунок 3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70683120"/>
          <a:ext cx="16002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154</xdr:row>
      <xdr:rowOff>0</xdr:rowOff>
    </xdr:from>
    <xdr:to>
      <xdr:col>2</xdr:col>
      <xdr:colOff>0</xdr:colOff>
      <xdr:row>154</xdr:row>
      <xdr:rowOff>541020</xdr:rowOff>
    </xdr:to>
    <xdr:pic>
      <xdr:nvPicPr>
        <xdr:cNvPr id="74059" name="Рисунок 35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71376540"/>
          <a:ext cx="15925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2</xdr:col>
      <xdr:colOff>0</xdr:colOff>
      <xdr:row>156</xdr:row>
      <xdr:rowOff>0</xdr:rowOff>
    </xdr:to>
    <xdr:pic>
      <xdr:nvPicPr>
        <xdr:cNvPr id="74060" name="Рисунок 36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71925180"/>
          <a:ext cx="160020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156</xdr:row>
      <xdr:rowOff>0</xdr:rowOff>
    </xdr:from>
    <xdr:to>
      <xdr:col>2</xdr:col>
      <xdr:colOff>0</xdr:colOff>
      <xdr:row>156</xdr:row>
      <xdr:rowOff>609600</xdr:rowOff>
    </xdr:to>
    <xdr:pic>
      <xdr:nvPicPr>
        <xdr:cNvPr id="74061" name="Рисунок 37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72481440"/>
          <a:ext cx="15925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</xdr:colOff>
      <xdr:row>158</xdr:row>
      <xdr:rowOff>53340</xdr:rowOff>
    </xdr:from>
    <xdr:to>
      <xdr:col>1</xdr:col>
      <xdr:colOff>1394460</xdr:colOff>
      <xdr:row>158</xdr:row>
      <xdr:rowOff>655320</xdr:rowOff>
    </xdr:to>
    <xdr:pic>
      <xdr:nvPicPr>
        <xdr:cNvPr id="74062" name="Рисунок 38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0" y="73357740"/>
          <a:ext cx="11963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1198880</xdr:colOff>
      <xdr:row>4</xdr:row>
      <xdr:rowOff>320040</xdr:rowOff>
    </xdr:to>
    <xdr:pic>
      <xdr:nvPicPr>
        <xdr:cNvPr id="74063" name="Рисунок 56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2168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187</xdr:row>
      <xdr:rowOff>152400</xdr:rowOff>
    </xdr:from>
    <xdr:to>
      <xdr:col>1</xdr:col>
      <xdr:colOff>1310640</xdr:colOff>
      <xdr:row>187</xdr:row>
      <xdr:rowOff>678180</xdr:rowOff>
    </xdr:to>
    <xdr:pic>
      <xdr:nvPicPr>
        <xdr:cNvPr id="7406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920" y="90807540"/>
          <a:ext cx="114300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1592580</xdr:colOff>
      <xdr:row>113</xdr:row>
      <xdr:rowOff>609600</xdr:rowOff>
    </xdr:to>
    <xdr:pic>
      <xdr:nvPicPr>
        <xdr:cNvPr id="74065" name="Рисунок 19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944" t="12962" r="9029" b="50694"/>
        <a:stretch>
          <a:fillRect/>
        </a:stretch>
      </xdr:blipFill>
      <xdr:spPr bwMode="auto">
        <a:xfrm>
          <a:off x="335280" y="56220360"/>
          <a:ext cx="15925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7620</xdr:rowOff>
    </xdr:from>
    <xdr:to>
      <xdr:col>1</xdr:col>
      <xdr:colOff>1592580</xdr:colOff>
      <xdr:row>113</xdr:row>
      <xdr:rowOff>1</xdr:rowOff>
    </xdr:to>
    <xdr:pic>
      <xdr:nvPicPr>
        <xdr:cNvPr id="74066" name="Рисунок 1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751" t="14868" r="11751" b="50360"/>
        <a:stretch>
          <a:fillRect/>
        </a:stretch>
      </xdr:blipFill>
      <xdr:spPr bwMode="auto">
        <a:xfrm>
          <a:off x="335280" y="55595520"/>
          <a:ext cx="159258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167</xdr:row>
      <xdr:rowOff>7620</xdr:rowOff>
    </xdr:from>
    <xdr:to>
      <xdr:col>1</xdr:col>
      <xdr:colOff>1219200</xdr:colOff>
      <xdr:row>167</xdr:row>
      <xdr:rowOff>708660</xdr:rowOff>
    </xdr:to>
    <xdr:pic>
      <xdr:nvPicPr>
        <xdr:cNvPr id="74067" name="Рисунок 4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888" t="4816" r="4443" b="12592"/>
        <a:stretch>
          <a:fillRect/>
        </a:stretch>
      </xdr:blipFill>
      <xdr:spPr bwMode="auto">
        <a:xfrm>
          <a:off x="601980" y="77724000"/>
          <a:ext cx="95250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169</xdr:row>
      <xdr:rowOff>30480</xdr:rowOff>
    </xdr:from>
    <xdr:to>
      <xdr:col>1</xdr:col>
      <xdr:colOff>1234440</xdr:colOff>
      <xdr:row>169</xdr:row>
      <xdr:rowOff>685800</xdr:rowOff>
    </xdr:to>
    <xdr:pic>
      <xdr:nvPicPr>
        <xdr:cNvPr id="74068" name="Рисунок 46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469" t="4688" r="4688" b="7813"/>
        <a:stretch>
          <a:fillRect/>
        </a:stretch>
      </xdr:blipFill>
      <xdr:spPr bwMode="auto">
        <a:xfrm>
          <a:off x="754380" y="79209900"/>
          <a:ext cx="81534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168</xdr:row>
      <xdr:rowOff>30480</xdr:rowOff>
    </xdr:from>
    <xdr:to>
      <xdr:col>1</xdr:col>
      <xdr:colOff>1203960</xdr:colOff>
      <xdr:row>168</xdr:row>
      <xdr:rowOff>678180</xdr:rowOff>
    </xdr:to>
    <xdr:pic>
      <xdr:nvPicPr>
        <xdr:cNvPr id="74069" name="Рисунок 47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000" t="6824" r="6117" b="11058"/>
        <a:stretch>
          <a:fillRect/>
        </a:stretch>
      </xdr:blipFill>
      <xdr:spPr bwMode="auto">
        <a:xfrm>
          <a:off x="777240" y="78478380"/>
          <a:ext cx="7620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322580</xdr:colOff>
      <xdr:row>163</xdr:row>
      <xdr:rowOff>0</xdr:rowOff>
    </xdr:from>
    <xdr:to>
      <xdr:col>1</xdr:col>
      <xdr:colOff>1244600</xdr:colOff>
      <xdr:row>163</xdr:row>
      <xdr:rowOff>563880</xdr:rowOff>
    </xdr:to>
    <xdr:pic>
      <xdr:nvPicPr>
        <xdr:cNvPr id="74070" name="Рисунок 49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732" t="10825" r="5670" b="9795"/>
        <a:stretch>
          <a:fillRect/>
        </a:stretch>
      </xdr:blipFill>
      <xdr:spPr bwMode="auto">
        <a:xfrm>
          <a:off x="657860" y="75641200"/>
          <a:ext cx="92202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173</xdr:row>
      <xdr:rowOff>45720</xdr:rowOff>
    </xdr:from>
    <xdr:to>
      <xdr:col>1</xdr:col>
      <xdr:colOff>1257300</xdr:colOff>
      <xdr:row>173</xdr:row>
      <xdr:rowOff>723900</xdr:rowOff>
    </xdr:to>
    <xdr:pic>
      <xdr:nvPicPr>
        <xdr:cNvPr id="74071" name="Рисунок 4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476" t="8064" r="6854" b="11290"/>
        <a:stretch>
          <a:fillRect/>
        </a:stretch>
      </xdr:blipFill>
      <xdr:spPr bwMode="auto">
        <a:xfrm>
          <a:off x="739140" y="81419700"/>
          <a:ext cx="8534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174</xdr:row>
      <xdr:rowOff>7620</xdr:rowOff>
    </xdr:from>
    <xdr:to>
      <xdr:col>1</xdr:col>
      <xdr:colOff>1211580</xdr:colOff>
      <xdr:row>175</xdr:row>
      <xdr:rowOff>1</xdr:rowOff>
    </xdr:to>
    <xdr:pic>
      <xdr:nvPicPr>
        <xdr:cNvPr id="74072" name="Рисунок 42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115" t="7227" r="5202" b="12427"/>
        <a:stretch>
          <a:fillRect/>
        </a:stretch>
      </xdr:blipFill>
      <xdr:spPr bwMode="auto">
        <a:xfrm>
          <a:off x="739140" y="82113120"/>
          <a:ext cx="8077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175</xdr:row>
      <xdr:rowOff>30480</xdr:rowOff>
    </xdr:from>
    <xdr:to>
      <xdr:col>1</xdr:col>
      <xdr:colOff>1173480</xdr:colOff>
      <xdr:row>175</xdr:row>
      <xdr:rowOff>723900</xdr:rowOff>
    </xdr:to>
    <xdr:pic>
      <xdr:nvPicPr>
        <xdr:cNvPr id="74073" name="Рисунок 43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881" t="8881" r="6177" b="9653"/>
        <a:stretch>
          <a:fillRect/>
        </a:stretch>
      </xdr:blipFill>
      <xdr:spPr bwMode="auto">
        <a:xfrm>
          <a:off x="701040" y="82867500"/>
          <a:ext cx="8077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171</xdr:row>
      <xdr:rowOff>7620</xdr:rowOff>
    </xdr:from>
    <xdr:to>
      <xdr:col>1</xdr:col>
      <xdr:colOff>1249680</xdr:colOff>
      <xdr:row>171</xdr:row>
      <xdr:rowOff>693420</xdr:rowOff>
    </xdr:to>
    <xdr:pic>
      <xdr:nvPicPr>
        <xdr:cNvPr id="74074" name="Рисунок 44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575" t="8266" r="5933" b="5785"/>
        <a:stretch>
          <a:fillRect/>
        </a:stretch>
      </xdr:blipFill>
      <xdr:spPr bwMode="auto">
        <a:xfrm>
          <a:off x="723900" y="80650080"/>
          <a:ext cx="8610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181</xdr:row>
      <xdr:rowOff>22860</xdr:rowOff>
    </xdr:from>
    <xdr:to>
      <xdr:col>1</xdr:col>
      <xdr:colOff>1135380</xdr:colOff>
      <xdr:row>181</xdr:row>
      <xdr:rowOff>716280</xdr:rowOff>
    </xdr:to>
    <xdr:pic>
      <xdr:nvPicPr>
        <xdr:cNvPr id="74075" name="Рисунок 51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679" b="8679"/>
        <a:stretch>
          <a:fillRect/>
        </a:stretch>
      </xdr:blipFill>
      <xdr:spPr bwMode="auto">
        <a:xfrm>
          <a:off x="609600" y="86753700"/>
          <a:ext cx="86106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182</xdr:row>
      <xdr:rowOff>30480</xdr:rowOff>
    </xdr:from>
    <xdr:to>
      <xdr:col>1</xdr:col>
      <xdr:colOff>1104900</xdr:colOff>
      <xdr:row>182</xdr:row>
      <xdr:rowOff>716280</xdr:rowOff>
    </xdr:to>
    <xdr:pic>
      <xdr:nvPicPr>
        <xdr:cNvPr id="74076" name="Рисунок 55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486" t="8556" b="8022"/>
        <a:stretch>
          <a:fillRect/>
        </a:stretch>
      </xdr:blipFill>
      <xdr:spPr bwMode="auto">
        <a:xfrm>
          <a:off x="655320" y="87492840"/>
          <a:ext cx="7848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177</xdr:row>
      <xdr:rowOff>83820</xdr:rowOff>
    </xdr:from>
    <xdr:to>
      <xdr:col>1</xdr:col>
      <xdr:colOff>1097280</xdr:colOff>
      <xdr:row>177</xdr:row>
      <xdr:rowOff>693420</xdr:rowOff>
    </xdr:to>
    <xdr:pic>
      <xdr:nvPicPr>
        <xdr:cNvPr id="74077" name="Рисунок 5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294" t="9148" r="19511" b="10365"/>
        <a:stretch>
          <a:fillRect/>
        </a:stretch>
      </xdr:blipFill>
      <xdr:spPr bwMode="auto">
        <a:xfrm>
          <a:off x="922020" y="83888580"/>
          <a:ext cx="51054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502920</xdr:colOff>
      <xdr:row>180</xdr:row>
      <xdr:rowOff>91440</xdr:rowOff>
    </xdr:from>
    <xdr:to>
      <xdr:col>1</xdr:col>
      <xdr:colOff>990600</xdr:colOff>
      <xdr:row>180</xdr:row>
      <xdr:rowOff>701040</xdr:rowOff>
    </xdr:to>
    <xdr:pic>
      <xdr:nvPicPr>
        <xdr:cNvPr id="74078" name="Рисунок 52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398" t="9453" r="18408" b="11940"/>
        <a:stretch>
          <a:fillRect/>
        </a:stretch>
      </xdr:blipFill>
      <xdr:spPr bwMode="auto">
        <a:xfrm>
          <a:off x="838200" y="86090760"/>
          <a:ext cx="4876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165</xdr:row>
      <xdr:rowOff>30480</xdr:rowOff>
    </xdr:from>
    <xdr:to>
      <xdr:col>1</xdr:col>
      <xdr:colOff>1280160</xdr:colOff>
      <xdr:row>165</xdr:row>
      <xdr:rowOff>708660</xdr:rowOff>
    </xdr:to>
    <xdr:pic>
      <xdr:nvPicPr>
        <xdr:cNvPr id="74079" name="Рисунок 39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178" t="4819" b="9639"/>
        <a:stretch>
          <a:fillRect/>
        </a:stretch>
      </xdr:blipFill>
      <xdr:spPr bwMode="auto">
        <a:xfrm>
          <a:off x="601980" y="76283820"/>
          <a:ext cx="101346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166</xdr:row>
      <xdr:rowOff>30480</xdr:rowOff>
    </xdr:from>
    <xdr:to>
      <xdr:col>1</xdr:col>
      <xdr:colOff>1165860</xdr:colOff>
      <xdr:row>167</xdr:row>
      <xdr:rowOff>0</xdr:rowOff>
    </xdr:to>
    <xdr:pic>
      <xdr:nvPicPr>
        <xdr:cNvPr id="74080" name="Рисунок 48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497" t="10056" r="5586" b="8380"/>
        <a:stretch>
          <a:fillRect/>
        </a:stretch>
      </xdr:blipFill>
      <xdr:spPr bwMode="auto">
        <a:xfrm>
          <a:off x="655320" y="77015340"/>
          <a:ext cx="84582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170</xdr:row>
      <xdr:rowOff>68580</xdr:rowOff>
    </xdr:from>
    <xdr:to>
      <xdr:col>1</xdr:col>
      <xdr:colOff>1257300</xdr:colOff>
      <xdr:row>170</xdr:row>
      <xdr:rowOff>730684</xdr:rowOff>
    </xdr:to>
    <xdr:pic>
      <xdr:nvPicPr>
        <xdr:cNvPr id="74081" name="Рисунок 40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537" t="6911" r="4471" b="8130"/>
        <a:stretch>
          <a:fillRect/>
        </a:stretch>
      </xdr:blipFill>
      <xdr:spPr bwMode="auto">
        <a:xfrm>
          <a:off x="708660" y="79979520"/>
          <a:ext cx="8839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502920</xdr:colOff>
      <xdr:row>178</xdr:row>
      <xdr:rowOff>38100</xdr:rowOff>
    </xdr:from>
    <xdr:to>
      <xdr:col>1</xdr:col>
      <xdr:colOff>1051560</xdr:colOff>
      <xdr:row>178</xdr:row>
      <xdr:rowOff>723900</xdr:rowOff>
    </xdr:to>
    <xdr:pic>
      <xdr:nvPicPr>
        <xdr:cNvPr id="74082" name="Рисунок 160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398" t="9453" r="18408" b="11940"/>
        <a:stretch>
          <a:fillRect/>
        </a:stretch>
      </xdr:blipFill>
      <xdr:spPr bwMode="auto">
        <a:xfrm>
          <a:off x="838200" y="84574380"/>
          <a:ext cx="548640" cy="685800"/>
        </a:xfrm>
        <a:prstGeom prst="rect">
          <a:avLst/>
        </a:prstGeom>
        <a:blipFill dpi="0" rotWithShape="1">
          <a:blip xmlns:r="http://schemas.openxmlformats.org/officeDocument/2006/relationships" r:embed="rId105" cstate="print"/>
          <a:srcRect l="20398" t="9453" r="18408" b="11940"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518160</xdr:colOff>
      <xdr:row>179</xdr:row>
      <xdr:rowOff>22860</xdr:rowOff>
    </xdr:from>
    <xdr:to>
      <xdr:col>1</xdr:col>
      <xdr:colOff>1082040</xdr:colOff>
      <xdr:row>180</xdr:row>
      <xdr:rowOff>0</xdr:rowOff>
    </xdr:to>
    <xdr:pic>
      <xdr:nvPicPr>
        <xdr:cNvPr id="74083" name="Рисунок 54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725" t="9175" r="21101" b="13303"/>
        <a:stretch>
          <a:fillRect/>
        </a:stretch>
      </xdr:blipFill>
      <xdr:spPr bwMode="auto">
        <a:xfrm>
          <a:off x="853440" y="85290660"/>
          <a:ext cx="5638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137</xdr:row>
      <xdr:rowOff>0</xdr:rowOff>
    </xdr:from>
    <xdr:to>
      <xdr:col>1</xdr:col>
      <xdr:colOff>1592580</xdr:colOff>
      <xdr:row>139</xdr:row>
      <xdr:rowOff>30480</xdr:rowOff>
    </xdr:to>
    <xdr:pic>
      <xdr:nvPicPr>
        <xdr:cNvPr id="74084" name="Рисунок 26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37" t="18225" r="7355" b="35297"/>
        <a:stretch>
          <a:fillRect/>
        </a:stretch>
      </xdr:blipFill>
      <xdr:spPr bwMode="auto">
        <a:xfrm>
          <a:off x="342900" y="66172080"/>
          <a:ext cx="15849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</xdr:row>
      <xdr:rowOff>7620</xdr:rowOff>
    </xdr:from>
    <xdr:to>
      <xdr:col>2</xdr:col>
      <xdr:colOff>0</xdr:colOff>
      <xdr:row>9</xdr:row>
      <xdr:rowOff>754380</xdr:rowOff>
    </xdr:to>
    <xdr:pic>
      <xdr:nvPicPr>
        <xdr:cNvPr id="74085" name="Рисунок 6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928" t="24042" r="7655" b="33417"/>
        <a:stretch>
          <a:fillRect/>
        </a:stretch>
      </xdr:blipFill>
      <xdr:spPr bwMode="auto">
        <a:xfrm>
          <a:off x="342900" y="309372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10</xdr:row>
      <xdr:rowOff>182880</xdr:rowOff>
    </xdr:from>
    <xdr:to>
      <xdr:col>1</xdr:col>
      <xdr:colOff>1592580</xdr:colOff>
      <xdr:row>11</xdr:row>
      <xdr:rowOff>746760</xdr:rowOff>
    </xdr:to>
    <xdr:pic>
      <xdr:nvPicPr>
        <xdr:cNvPr id="74086" name="Рисунок 4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515" t="15286" r="7066" b="45287"/>
        <a:stretch>
          <a:fillRect/>
        </a:stretch>
      </xdr:blipFill>
      <xdr:spPr bwMode="auto">
        <a:xfrm>
          <a:off x="335280" y="403098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1577340</xdr:colOff>
      <xdr:row>12</xdr:row>
      <xdr:rowOff>723900</xdr:rowOff>
    </xdr:to>
    <xdr:pic>
      <xdr:nvPicPr>
        <xdr:cNvPr id="74087" name="Рисунок 5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370" t="43347" r="5840" b="17136"/>
        <a:stretch>
          <a:fillRect/>
        </a:stretch>
      </xdr:blipFill>
      <xdr:spPr bwMode="auto">
        <a:xfrm>
          <a:off x="335280" y="4808220"/>
          <a:ext cx="15773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</xdr:row>
      <xdr:rowOff>7620</xdr:rowOff>
    </xdr:from>
    <xdr:to>
      <xdr:col>1</xdr:col>
      <xdr:colOff>1592580</xdr:colOff>
      <xdr:row>16</xdr:row>
      <xdr:rowOff>22860</xdr:rowOff>
    </xdr:to>
    <xdr:pic>
      <xdr:nvPicPr>
        <xdr:cNvPr id="74088" name="Рисунок 15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8310" b="29831"/>
        <a:stretch>
          <a:fillRect/>
        </a:stretch>
      </xdr:blipFill>
      <xdr:spPr bwMode="auto">
        <a:xfrm>
          <a:off x="342900" y="7917180"/>
          <a:ext cx="1584960" cy="7391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120</xdr:row>
      <xdr:rowOff>7620</xdr:rowOff>
    </xdr:from>
    <xdr:to>
      <xdr:col>1</xdr:col>
      <xdr:colOff>1592580</xdr:colOff>
      <xdr:row>121</xdr:row>
      <xdr:rowOff>0</xdr:rowOff>
    </xdr:to>
    <xdr:pic>
      <xdr:nvPicPr>
        <xdr:cNvPr id="74091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2420" y="59275980"/>
          <a:ext cx="161544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122</xdr:row>
      <xdr:rowOff>609600</xdr:rowOff>
    </xdr:from>
    <xdr:to>
      <xdr:col>2</xdr:col>
      <xdr:colOff>0</xdr:colOff>
      <xdr:row>123</xdr:row>
      <xdr:rowOff>609600</xdr:rowOff>
    </xdr:to>
    <xdr:pic>
      <xdr:nvPicPr>
        <xdr:cNvPr id="74092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61142880"/>
          <a:ext cx="15925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30480</xdr:rowOff>
    </xdr:from>
    <xdr:to>
      <xdr:col>2</xdr:col>
      <xdr:colOff>22860</xdr:colOff>
      <xdr:row>123</xdr:row>
      <xdr:rowOff>7620</xdr:rowOff>
    </xdr:to>
    <xdr:pic>
      <xdr:nvPicPr>
        <xdr:cNvPr id="74093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60563760"/>
          <a:ext cx="162306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2</xdr:col>
      <xdr:colOff>7620</xdr:colOff>
      <xdr:row>122</xdr:row>
      <xdr:rowOff>30480</xdr:rowOff>
    </xdr:to>
    <xdr:pic>
      <xdr:nvPicPr>
        <xdr:cNvPr id="74094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59900820"/>
          <a:ext cx="16078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74095" name="Рисунок 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54208680"/>
          <a:ext cx="16002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2</xdr:col>
      <xdr:colOff>22860</xdr:colOff>
      <xdr:row>116</xdr:row>
      <xdr:rowOff>0</xdr:rowOff>
    </xdr:to>
    <xdr:pic>
      <xdr:nvPicPr>
        <xdr:cNvPr id="74096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57165240"/>
          <a:ext cx="162306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118</xdr:row>
      <xdr:rowOff>0</xdr:rowOff>
    </xdr:from>
    <xdr:to>
      <xdr:col>1</xdr:col>
      <xdr:colOff>1592580</xdr:colOff>
      <xdr:row>119</xdr:row>
      <xdr:rowOff>0</xdr:rowOff>
    </xdr:to>
    <xdr:pic>
      <xdr:nvPicPr>
        <xdr:cNvPr id="74097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7660" y="58414920"/>
          <a:ext cx="160020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31</xdr:row>
      <xdr:rowOff>708660</xdr:rowOff>
    </xdr:to>
    <xdr:pic>
      <xdr:nvPicPr>
        <xdr:cNvPr id="74098" name="Рисунок 1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1764030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7620</xdr:colOff>
      <xdr:row>30</xdr:row>
      <xdr:rowOff>0</xdr:rowOff>
    </xdr:to>
    <xdr:pic>
      <xdr:nvPicPr>
        <xdr:cNvPr id="74099" name="Рисунок 1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16192500"/>
          <a:ext cx="16078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1584960</xdr:colOff>
      <xdr:row>31</xdr:row>
      <xdr:rowOff>15240</xdr:rowOff>
    </xdr:to>
    <xdr:pic>
      <xdr:nvPicPr>
        <xdr:cNvPr id="74100" name="Рисунок 15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8310" b="29831"/>
        <a:stretch>
          <a:fillRect/>
        </a:stretch>
      </xdr:blipFill>
      <xdr:spPr bwMode="auto">
        <a:xfrm>
          <a:off x="335280" y="16916400"/>
          <a:ext cx="1584960" cy="7391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28</xdr:row>
      <xdr:rowOff>716280</xdr:rowOff>
    </xdr:to>
    <xdr:pic>
      <xdr:nvPicPr>
        <xdr:cNvPr id="74101" name="Рисунок 1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1546860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</xdr:row>
      <xdr:rowOff>7620</xdr:rowOff>
    </xdr:from>
    <xdr:to>
      <xdr:col>2</xdr:col>
      <xdr:colOff>0</xdr:colOff>
      <xdr:row>57</xdr:row>
      <xdr:rowOff>0</xdr:rowOff>
    </xdr:to>
    <xdr:pic>
      <xdr:nvPicPr>
        <xdr:cNvPr id="74102" name="Рисунок 38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3326892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116</xdr:row>
      <xdr:rowOff>7620</xdr:rowOff>
    </xdr:from>
    <xdr:to>
      <xdr:col>1</xdr:col>
      <xdr:colOff>1584960</xdr:colOff>
      <xdr:row>116</xdr:row>
      <xdr:rowOff>609600</xdr:rowOff>
    </xdr:to>
    <xdr:pic>
      <xdr:nvPicPr>
        <xdr:cNvPr id="74103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57797700"/>
          <a:ext cx="15773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591</xdr:colOff>
      <xdr:row>25</xdr:row>
      <xdr:rowOff>708660</xdr:rowOff>
    </xdr:to>
    <xdr:pic>
      <xdr:nvPicPr>
        <xdr:cNvPr id="132" name="Рисунок 20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14396720"/>
          <a:ext cx="15976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101</xdr:row>
      <xdr:rowOff>363220</xdr:rowOff>
    </xdr:from>
    <xdr:to>
      <xdr:col>2</xdr:col>
      <xdr:colOff>0</xdr:colOff>
      <xdr:row>103</xdr:row>
      <xdr:rowOff>25400</xdr:rowOff>
    </xdr:to>
    <xdr:pic>
      <xdr:nvPicPr>
        <xdr:cNvPr id="133" name="Рисунок 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5346954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13607</xdr:rowOff>
    </xdr:from>
    <xdr:to>
      <xdr:col>2</xdr:col>
      <xdr:colOff>410</xdr:colOff>
      <xdr:row>21</xdr:row>
      <xdr:rowOff>21227</xdr:rowOff>
    </xdr:to>
    <xdr:pic>
      <xdr:nvPicPr>
        <xdr:cNvPr id="151" name="Рисунок 13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7300" b="40594"/>
        <a:stretch>
          <a:fillRect/>
        </a:stretch>
      </xdr:blipFill>
      <xdr:spPr bwMode="auto">
        <a:xfrm>
          <a:off x="340179" y="10096500"/>
          <a:ext cx="1597479" cy="728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2982</xdr:colOff>
      <xdr:row>21</xdr:row>
      <xdr:rowOff>3170</xdr:rowOff>
    </xdr:from>
    <xdr:to>
      <xdr:col>2</xdr:col>
      <xdr:colOff>5404</xdr:colOff>
      <xdr:row>22</xdr:row>
      <xdr:rowOff>10438</xdr:rowOff>
    </xdr:to>
    <xdr:pic>
      <xdr:nvPicPr>
        <xdr:cNvPr id="153" name="Рисунок 17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7009" y="10796430"/>
          <a:ext cx="1599491" cy="727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5890</xdr:colOff>
      <xdr:row>22</xdr:row>
      <xdr:rowOff>15396</xdr:rowOff>
    </xdr:from>
    <xdr:ext cx="1575707" cy="721179"/>
    <xdr:pic>
      <xdr:nvPicPr>
        <xdr:cNvPr id="155" name="Рисунок 9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6840" b="25534"/>
        <a:stretch>
          <a:fillRect/>
        </a:stretch>
      </xdr:blipFill>
      <xdr:spPr bwMode="auto">
        <a:xfrm>
          <a:off x="339917" y="11528903"/>
          <a:ext cx="1575707" cy="721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18</xdr:row>
      <xdr:rowOff>0</xdr:rowOff>
    </xdr:from>
    <xdr:to>
      <xdr:col>2</xdr:col>
      <xdr:colOff>953</xdr:colOff>
      <xdr:row>18</xdr:row>
      <xdr:rowOff>708660</xdr:rowOff>
    </xdr:to>
    <xdr:pic>
      <xdr:nvPicPr>
        <xdr:cNvPr id="156" name="Рисунок 16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179" y="10082893"/>
          <a:ext cx="1598022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1584960</xdr:colOff>
      <xdr:row>20</xdr:row>
      <xdr:rowOff>-1</xdr:rowOff>
    </xdr:to>
    <xdr:pic>
      <xdr:nvPicPr>
        <xdr:cNvPr id="157" name="Рисунок 12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179" y="10804071"/>
          <a:ext cx="1584960" cy="721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109</xdr:row>
      <xdr:rowOff>1</xdr:rowOff>
    </xdr:from>
    <xdr:to>
      <xdr:col>2</xdr:col>
      <xdr:colOff>20877</xdr:colOff>
      <xdr:row>110</xdr:row>
      <xdr:rowOff>1</xdr:rowOff>
    </xdr:to>
    <xdr:pic>
      <xdr:nvPicPr>
        <xdr:cNvPr id="158" name="Рисунок 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027" y="68632193"/>
          <a:ext cx="1617946" cy="584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-1</xdr:rowOff>
    </xdr:from>
    <xdr:to>
      <xdr:col>1</xdr:col>
      <xdr:colOff>1589449</xdr:colOff>
      <xdr:row>117</xdr:row>
      <xdr:rowOff>626300</xdr:rowOff>
    </xdr:to>
    <xdr:pic>
      <xdr:nvPicPr>
        <xdr:cNvPr id="159" name="Рисунок 11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027" y="72849287"/>
          <a:ext cx="1589449" cy="626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1589449</xdr:colOff>
      <xdr:row>144</xdr:row>
      <xdr:rowOff>0</xdr:rowOff>
    </xdr:to>
    <xdr:pic>
      <xdr:nvPicPr>
        <xdr:cNvPr id="160" name="Рисунок 11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027" y="83882630"/>
          <a:ext cx="1589449" cy="43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427972</xdr:rowOff>
    </xdr:from>
    <xdr:to>
      <xdr:col>2</xdr:col>
      <xdr:colOff>0</xdr:colOff>
      <xdr:row>140</xdr:row>
      <xdr:rowOff>427972</xdr:rowOff>
    </xdr:to>
    <xdr:pic>
      <xdr:nvPicPr>
        <xdr:cNvPr id="161" name="Рисунок 118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027" y="82149862"/>
          <a:ext cx="1597069" cy="855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63</xdr:row>
      <xdr:rowOff>7620</xdr:rowOff>
    </xdr:from>
    <xdr:to>
      <xdr:col>3</xdr:col>
      <xdr:colOff>426720</xdr:colOff>
      <xdr:row>66</xdr:row>
      <xdr:rowOff>137160</xdr:rowOff>
    </xdr:to>
    <xdr:pic>
      <xdr:nvPicPr>
        <xdr:cNvPr id="7483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7220" y="21061680"/>
          <a:ext cx="16383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178</xdr:row>
      <xdr:rowOff>182880</xdr:rowOff>
    </xdr:from>
    <xdr:to>
      <xdr:col>3</xdr:col>
      <xdr:colOff>381000</xdr:colOff>
      <xdr:row>182</xdr:row>
      <xdr:rowOff>137160</xdr:rowOff>
    </xdr:to>
    <xdr:pic>
      <xdr:nvPicPr>
        <xdr:cNvPr id="74840" name="Рисунок 918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55984140"/>
          <a:ext cx="1600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181</xdr:row>
      <xdr:rowOff>220980</xdr:rowOff>
    </xdr:from>
    <xdr:to>
      <xdr:col>3</xdr:col>
      <xdr:colOff>388620</xdr:colOff>
      <xdr:row>185</xdr:row>
      <xdr:rowOff>129540</xdr:rowOff>
    </xdr:to>
    <xdr:pic>
      <xdr:nvPicPr>
        <xdr:cNvPr id="74841" name="Рисунок 919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7220" y="56669940"/>
          <a:ext cx="1600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184</xdr:row>
      <xdr:rowOff>190500</xdr:rowOff>
    </xdr:from>
    <xdr:to>
      <xdr:col>3</xdr:col>
      <xdr:colOff>411480</xdr:colOff>
      <xdr:row>188</xdr:row>
      <xdr:rowOff>137160</xdr:rowOff>
    </xdr:to>
    <xdr:pic>
      <xdr:nvPicPr>
        <xdr:cNvPr id="74842" name="Рисунок 919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0080" y="57332880"/>
          <a:ext cx="1600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187</xdr:row>
      <xdr:rowOff>220980</xdr:rowOff>
    </xdr:from>
    <xdr:to>
      <xdr:col>3</xdr:col>
      <xdr:colOff>83820</xdr:colOff>
      <xdr:row>191</xdr:row>
      <xdr:rowOff>137160</xdr:rowOff>
    </xdr:to>
    <xdr:pic>
      <xdr:nvPicPr>
        <xdr:cNvPr id="74843" name="Рисунок 919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2420" y="58056780"/>
          <a:ext cx="160020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192</xdr:row>
      <xdr:rowOff>15240</xdr:rowOff>
    </xdr:from>
    <xdr:to>
      <xdr:col>3</xdr:col>
      <xdr:colOff>381000</xdr:colOff>
      <xdr:row>194</xdr:row>
      <xdr:rowOff>160020</xdr:rowOff>
    </xdr:to>
    <xdr:pic>
      <xdr:nvPicPr>
        <xdr:cNvPr id="74844" name="Рисунок 920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58971180"/>
          <a:ext cx="1600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3</xdr:col>
      <xdr:colOff>381000</xdr:colOff>
      <xdr:row>195</xdr:row>
      <xdr:rowOff>137160</xdr:rowOff>
    </xdr:to>
    <xdr:pic>
      <xdr:nvPicPr>
        <xdr:cNvPr id="74845" name="Рисунок 920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59184540"/>
          <a:ext cx="16002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3</xdr:col>
      <xdr:colOff>381000</xdr:colOff>
      <xdr:row>199</xdr:row>
      <xdr:rowOff>83820</xdr:rowOff>
    </xdr:to>
    <xdr:pic>
      <xdr:nvPicPr>
        <xdr:cNvPr id="74846" name="Рисунок 922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59817000"/>
          <a:ext cx="1600200" cy="1386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3</xdr:col>
      <xdr:colOff>381000</xdr:colOff>
      <xdr:row>200</xdr:row>
      <xdr:rowOff>137160</xdr:rowOff>
    </xdr:to>
    <xdr:pic>
      <xdr:nvPicPr>
        <xdr:cNvPr id="74847" name="Рисунок 92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60190380"/>
          <a:ext cx="1600200" cy="1623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198</xdr:row>
      <xdr:rowOff>15240</xdr:rowOff>
    </xdr:from>
    <xdr:to>
      <xdr:col>3</xdr:col>
      <xdr:colOff>381000</xdr:colOff>
      <xdr:row>201</xdr:row>
      <xdr:rowOff>160020</xdr:rowOff>
    </xdr:to>
    <xdr:pic>
      <xdr:nvPicPr>
        <xdr:cNvPr id="74848" name="Рисунок 923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60761880"/>
          <a:ext cx="160020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199</xdr:row>
      <xdr:rowOff>7620</xdr:rowOff>
    </xdr:from>
    <xdr:to>
      <xdr:col>3</xdr:col>
      <xdr:colOff>381000</xdr:colOff>
      <xdr:row>202</xdr:row>
      <xdr:rowOff>152400</xdr:rowOff>
    </xdr:to>
    <xdr:pic>
      <xdr:nvPicPr>
        <xdr:cNvPr id="74849" name="Рисунок 923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61127640"/>
          <a:ext cx="1600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200</xdr:row>
      <xdr:rowOff>0</xdr:rowOff>
    </xdr:from>
    <xdr:to>
      <xdr:col>3</xdr:col>
      <xdr:colOff>403860</xdr:colOff>
      <xdr:row>203</xdr:row>
      <xdr:rowOff>137160</xdr:rowOff>
    </xdr:to>
    <xdr:pic>
      <xdr:nvPicPr>
        <xdr:cNvPr id="74850" name="Рисунок 923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2460" y="61676280"/>
          <a:ext cx="16002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177</xdr:row>
      <xdr:rowOff>15240</xdr:rowOff>
    </xdr:from>
    <xdr:to>
      <xdr:col>3</xdr:col>
      <xdr:colOff>365760</xdr:colOff>
      <xdr:row>180</xdr:row>
      <xdr:rowOff>30480</xdr:rowOff>
    </xdr:to>
    <xdr:pic>
      <xdr:nvPicPr>
        <xdr:cNvPr id="74851" name="Рисунок 92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0080" y="54894480"/>
          <a:ext cx="155448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</xdr:colOff>
      <xdr:row>166</xdr:row>
      <xdr:rowOff>83820</xdr:rowOff>
    </xdr:from>
    <xdr:to>
      <xdr:col>3</xdr:col>
      <xdr:colOff>297180</xdr:colOff>
      <xdr:row>169</xdr:row>
      <xdr:rowOff>137160</xdr:rowOff>
    </xdr:to>
    <xdr:pic>
      <xdr:nvPicPr>
        <xdr:cNvPr id="74852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" y="51183540"/>
          <a:ext cx="13944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38</xdr:row>
      <xdr:rowOff>7620</xdr:rowOff>
    </xdr:from>
    <xdr:to>
      <xdr:col>3</xdr:col>
      <xdr:colOff>449580</xdr:colOff>
      <xdr:row>41</xdr:row>
      <xdr:rowOff>137160</xdr:rowOff>
    </xdr:to>
    <xdr:pic>
      <xdr:nvPicPr>
        <xdr:cNvPr id="74853" name="Рисунок 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7220" y="11811000"/>
          <a:ext cx="166116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7620</xdr:rowOff>
    </xdr:from>
    <xdr:to>
      <xdr:col>3</xdr:col>
      <xdr:colOff>441960</xdr:colOff>
      <xdr:row>42</xdr:row>
      <xdr:rowOff>137160</xdr:rowOff>
    </xdr:to>
    <xdr:pic>
      <xdr:nvPicPr>
        <xdr:cNvPr id="74854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12542520"/>
          <a:ext cx="16611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43</xdr:row>
      <xdr:rowOff>7620</xdr:rowOff>
    </xdr:from>
    <xdr:to>
      <xdr:col>3</xdr:col>
      <xdr:colOff>441960</xdr:colOff>
      <xdr:row>46</xdr:row>
      <xdr:rowOff>91440</xdr:rowOff>
    </xdr:to>
    <xdr:pic>
      <xdr:nvPicPr>
        <xdr:cNvPr id="74855" name="Рисунок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2460" y="13944600"/>
          <a:ext cx="1638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44</xdr:row>
      <xdr:rowOff>7620</xdr:rowOff>
    </xdr:from>
    <xdr:to>
      <xdr:col>3</xdr:col>
      <xdr:colOff>441960</xdr:colOff>
      <xdr:row>47</xdr:row>
      <xdr:rowOff>144780</xdr:rowOff>
    </xdr:to>
    <xdr:pic>
      <xdr:nvPicPr>
        <xdr:cNvPr id="74856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7220" y="14310360"/>
          <a:ext cx="16535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207</xdr:row>
      <xdr:rowOff>7620</xdr:rowOff>
    </xdr:from>
    <xdr:to>
      <xdr:col>3</xdr:col>
      <xdr:colOff>304800</xdr:colOff>
      <xdr:row>210</xdr:row>
      <xdr:rowOff>30480</xdr:rowOff>
    </xdr:to>
    <xdr:pic>
      <xdr:nvPicPr>
        <xdr:cNvPr id="74857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0560" y="63177420"/>
          <a:ext cx="14630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206</xdr:row>
      <xdr:rowOff>15240</xdr:rowOff>
    </xdr:from>
    <xdr:to>
      <xdr:col>3</xdr:col>
      <xdr:colOff>259080</xdr:colOff>
      <xdr:row>209</xdr:row>
      <xdr:rowOff>68580</xdr:rowOff>
    </xdr:to>
    <xdr:pic>
      <xdr:nvPicPr>
        <xdr:cNvPr id="74858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0080" y="62956440"/>
          <a:ext cx="14478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168</xdr:row>
      <xdr:rowOff>53340</xdr:rowOff>
    </xdr:from>
    <xdr:to>
      <xdr:col>3</xdr:col>
      <xdr:colOff>342900</xdr:colOff>
      <xdr:row>171</xdr:row>
      <xdr:rowOff>121920</xdr:rowOff>
    </xdr:to>
    <xdr:pic>
      <xdr:nvPicPr>
        <xdr:cNvPr id="74859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51617880"/>
          <a:ext cx="13716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42</xdr:row>
      <xdr:rowOff>7620</xdr:rowOff>
    </xdr:from>
    <xdr:to>
      <xdr:col>3</xdr:col>
      <xdr:colOff>426720</xdr:colOff>
      <xdr:row>45</xdr:row>
      <xdr:rowOff>83820</xdr:rowOff>
    </xdr:to>
    <xdr:pic>
      <xdr:nvPicPr>
        <xdr:cNvPr id="74860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0080" y="13708380"/>
          <a:ext cx="161544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203</xdr:row>
      <xdr:rowOff>7620</xdr:rowOff>
    </xdr:from>
    <xdr:to>
      <xdr:col>3</xdr:col>
      <xdr:colOff>274320</xdr:colOff>
      <xdr:row>206</xdr:row>
      <xdr:rowOff>45720</xdr:rowOff>
    </xdr:to>
    <xdr:pic>
      <xdr:nvPicPr>
        <xdr:cNvPr id="74861" name="Рисунок 384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8180" y="62316360"/>
          <a:ext cx="14249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14</xdr:row>
      <xdr:rowOff>30480</xdr:rowOff>
    </xdr:from>
    <xdr:to>
      <xdr:col>3</xdr:col>
      <xdr:colOff>441960</xdr:colOff>
      <xdr:row>17</xdr:row>
      <xdr:rowOff>175260</xdr:rowOff>
    </xdr:to>
    <xdr:pic>
      <xdr:nvPicPr>
        <xdr:cNvPr id="74862" name="Рисунок 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21" b="-69"/>
        <a:stretch>
          <a:fillRect/>
        </a:stretch>
      </xdr:blipFill>
      <xdr:spPr bwMode="auto">
        <a:xfrm>
          <a:off x="632460" y="4564380"/>
          <a:ext cx="163830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15</xdr:row>
      <xdr:rowOff>15240</xdr:rowOff>
    </xdr:from>
    <xdr:to>
      <xdr:col>3</xdr:col>
      <xdr:colOff>426720</xdr:colOff>
      <xdr:row>18</xdr:row>
      <xdr:rowOff>144780</xdr:rowOff>
    </xdr:to>
    <xdr:pic>
      <xdr:nvPicPr>
        <xdr:cNvPr id="74863" name="Рисунок 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" b="-43"/>
        <a:stretch>
          <a:fillRect/>
        </a:stretch>
      </xdr:blipFill>
      <xdr:spPr bwMode="auto">
        <a:xfrm>
          <a:off x="632460" y="4785360"/>
          <a:ext cx="16230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</xdr:row>
      <xdr:rowOff>7620</xdr:rowOff>
    </xdr:from>
    <xdr:to>
      <xdr:col>3</xdr:col>
      <xdr:colOff>441960</xdr:colOff>
      <xdr:row>15</xdr:row>
      <xdr:rowOff>114300</xdr:rowOff>
    </xdr:to>
    <xdr:pic>
      <xdr:nvPicPr>
        <xdr:cNvPr id="74864" name="Рисунок 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18" b="-98"/>
        <a:stretch>
          <a:fillRect/>
        </a:stretch>
      </xdr:blipFill>
      <xdr:spPr bwMode="auto">
        <a:xfrm>
          <a:off x="617220" y="3794760"/>
          <a:ext cx="16535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24</xdr:row>
      <xdr:rowOff>7620</xdr:rowOff>
    </xdr:from>
    <xdr:to>
      <xdr:col>3</xdr:col>
      <xdr:colOff>441960</xdr:colOff>
      <xdr:row>27</xdr:row>
      <xdr:rowOff>106680</xdr:rowOff>
    </xdr:to>
    <xdr:pic>
      <xdr:nvPicPr>
        <xdr:cNvPr id="74865" name="Рисунок 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-44"/>
        <a:stretch>
          <a:fillRect/>
        </a:stretch>
      </xdr:blipFill>
      <xdr:spPr bwMode="auto">
        <a:xfrm>
          <a:off x="617220" y="6949440"/>
          <a:ext cx="16535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</xdr:row>
      <xdr:rowOff>30480</xdr:rowOff>
    </xdr:from>
    <xdr:to>
      <xdr:col>3</xdr:col>
      <xdr:colOff>441960</xdr:colOff>
      <xdr:row>20</xdr:row>
      <xdr:rowOff>137160</xdr:rowOff>
    </xdr:to>
    <xdr:pic>
      <xdr:nvPicPr>
        <xdr:cNvPr id="74866" name="Рисунок 1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58"/>
        <a:stretch>
          <a:fillRect/>
        </a:stretch>
      </xdr:blipFill>
      <xdr:spPr bwMode="auto">
        <a:xfrm>
          <a:off x="647700" y="5364480"/>
          <a:ext cx="16230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25</xdr:row>
      <xdr:rowOff>7620</xdr:rowOff>
    </xdr:from>
    <xdr:to>
      <xdr:col>3</xdr:col>
      <xdr:colOff>441960</xdr:colOff>
      <xdr:row>28</xdr:row>
      <xdr:rowOff>91440</xdr:rowOff>
    </xdr:to>
    <xdr:pic>
      <xdr:nvPicPr>
        <xdr:cNvPr id="74867" name="Рисунок 1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" b="3"/>
        <a:stretch>
          <a:fillRect/>
        </a:stretch>
      </xdr:blipFill>
      <xdr:spPr bwMode="auto">
        <a:xfrm>
          <a:off x="617220" y="7178040"/>
          <a:ext cx="165354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23</xdr:row>
      <xdr:rowOff>7620</xdr:rowOff>
    </xdr:from>
    <xdr:to>
      <xdr:col>3</xdr:col>
      <xdr:colOff>449580</xdr:colOff>
      <xdr:row>26</xdr:row>
      <xdr:rowOff>144780</xdr:rowOff>
    </xdr:to>
    <xdr:pic>
      <xdr:nvPicPr>
        <xdr:cNvPr id="74868" name="Рисунок 1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-98"/>
        <a:stretch>
          <a:fillRect/>
        </a:stretch>
      </xdr:blipFill>
      <xdr:spPr bwMode="auto">
        <a:xfrm>
          <a:off x="632460" y="6720840"/>
          <a:ext cx="16459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21</xdr:row>
      <xdr:rowOff>15240</xdr:rowOff>
    </xdr:from>
    <xdr:to>
      <xdr:col>3</xdr:col>
      <xdr:colOff>441960</xdr:colOff>
      <xdr:row>24</xdr:row>
      <xdr:rowOff>144780</xdr:rowOff>
    </xdr:to>
    <xdr:pic>
      <xdr:nvPicPr>
        <xdr:cNvPr id="74869" name="Рисунок 1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-11"/>
        <a:stretch>
          <a:fillRect/>
        </a:stretch>
      </xdr:blipFill>
      <xdr:spPr bwMode="auto">
        <a:xfrm>
          <a:off x="632460" y="6271260"/>
          <a:ext cx="163830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22</xdr:row>
      <xdr:rowOff>7620</xdr:rowOff>
    </xdr:from>
    <xdr:to>
      <xdr:col>3</xdr:col>
      <xdr:colOff>449580</xdr:colOff>
      <xdr:row>25</xdr:row>
      <xdr:rowOff>144780</xdr:rowOff>
    </xdr:to>
    <xdr:pic>
      <xdr:nvPicPr>
        <xdr:cNvPr id="74870" name="Рисунок 1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24"/>
        <a:stretch>
          <a:fillRect/>
        </a:stretch>
      </xdr:blipFill>
      <xdr:spPr bwMode="auto">
        <a:xfrm>
          <a:off x="632460" y="6492240"/>
          <a:ext cx="164592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</xdr:row>
      <xdr:rowOff>15240</xdr:rowOff>
    </xdr:from>
    <xdr:to>
      <xdr:col>3</xdr:col>
      <xdr:colOff>441960</xdr:colOff>
      <xdr:row>23</xdr:row>
      <xdr:rowOff>144780</xdr:rowOff>
    </xdr:to>
    <xdr:pic>
      <xdr:nvPicPr>
        <xdr:cNvPr id="74871" name="Рисунок 1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96"/>
        <a:stretch>
          <a:fillRect/>
        </a:stretch>
      </xdr:blipFill>
      <xdr:spPr bwMode="auto">
        <a:xfrm>
          <a:off x="617220" y="6042660"/>
          <a:ext cx="1653540" cy="8153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18</xdr:row>
      <xdr:rowOff>15240</xdr:rowOff>
    </xdr:from>
    <xdr:to>
      <xdr:col>3</xdr:col>
      <xdr:colOff>441960</xdr:colOff>
      <xdr:row>21</xdr:row>
      <xdr:rowOff>137160</xdr:rowOff>
    </xdr:to>
    <xdr:pic>
      <xdr:nvPicPr>
        <xdr:cNvPr id="74872" name="Рисунок 1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12"/>
        <a:stretch>
          <a:fillRect/>
        </a:stretch>
      </xdr:blipFill>
      <xdr:spPr bwMode="auto">
        <a:xfrm>
          <a:off x="640080" y="5585460"/>
          <a:ext cx="163068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19</xdr:row>
      <xdr:rowOff>15240</xdr:rowOff>
    </xdr:from>
    <xdr:to>
      <xdr:col>3</xdr:col>
      <xdr:colOff>419100</xdr:colOff>
      <xdr:row>22</xdr:row>
      <xdr:rowOff>144780</xdr:rowOff>
    </xdr:to>
    <xdr:pic>
      <xdr:nvPicPr>
        <xdr:cNvPr id="74873" name="Рисунок 1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20"/>
        <a:stretch>
          <a:fillRect/>
        </a:stretch>
      </xdr:blipFill>
      <xdr:spPr bwMode="auto">
        <a:xfrm>
          <a:off x="647700" y="5814060"/>
          <a:ext cx="160020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</xdr:row>
      <xdr:rowOff>30480</xdr:rowOff>
    </xdr:from>
    <xdr:to>
      <xdr:col>3</xdr:col>
      <xdr:colOff>426720</xdr:colOff>
      <xdr:row>29</xdr:row>
      <xdr:rowOff>114300</xdr:rowOff>
    </xdr:to>
    <xdr:pic>
      <xdr:nvPicPr>
        <xdr:cNvPr id="74874" name="Рисунок 1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66"/>
        <a:stretch>
          <a:fillRect/>
        </a:stretch>
      </xdr:blipFill>
      <xdr:spPr bwMode="auto">
        <a:xfrm>
          <a:off x="647700" y="7437120"/>
          <a:ext cx="160782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27</xdr:row>
      <xdr:rowOff>7620</xdr:rowOff>
    </xdr:from>
    <xdr:to>
      <xdr:col>3</xdr:col>
      <xdr:colOff>426720</xdr:colOff>
      <xdr:row>30</xdr:row>
      <xdr:rowOff>137160</xdr:rowOff>
    </xdr:to>
    <xdr:pic>
      <xdr:nvPicPr>
        <xdr:cNvPr id="74875" name="Рисунок 1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40"/>
        <a:stretch>
          <a:fillRect/>
        </a:stretch>
      </xdr:blipFill>
      <xdr:spPr bwMode="auto">
        <a:xfrm>
          <a:off x="617220" y="7650480"/>
          <a:ext cx="16383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28</xdr:row>
      <xdr:rowOff>7620</xdr:rowOff>
    </xdr:from>
    <xdr:to>
      <xdr:col>3</xdr:col>
      <xdr:colOff>449580</xdr:colOff>
      <xdr:row>31</xdr:row>
      <xdr:rowOff>137160</xdr:rowOff>
    </xdr:to>
    <xdr:pic>
      <xdr:nvPicPr>
        <xdr:cNvPr id="74876" name="Рисунок 2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2"/>
        <a:stretch>
          <a:fillRect/>
        </a:stretch>
      </xdr:blipFill>
      <xdr:spPr bwMode="auto">
        <a:xfrm>
          <a:off x="617220" y="8199120"/>
          <a:ext cx="166116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29</xdr:row>
      <xdr:rowOff>7620</xdr:rowOff>
    </xdr:from>
    <xdr:to>
      <xdr:col>3</xdr:col>
      <xdr:colOff>441960</xdr:colOff>
      <xdr:row>32</xdr:row>
      <xdr:rowOff>106680</xdr:rowOff>
    </xdr:to>
    <xdr:pic>
      <xdr:nvPicPr>
        <xdr:cNvPr id="74877" name="Рисунок 2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-35"/>
        <a:stretch>
          <a:fillRect/>
        </a:stretch>
      </xdr:blipFill>
      <xdr:spPr bwMode="auto">
        <a:xfrm>
          <a:off x="632460" y="8564880"/>
          <a:ext cx="163830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31</xdr:row>
      <xdr:rowOff>7620</xdr:rowOff>
    </xdr:from>
    <xdr:to>
      <xdr:col>3</xdr:col>
      <xdr:colOff>426720</xdr:colOff>
      <xdr:row>34</xdr:row>
      <xdr:rowOff>76200</xdr:rowOff>
    </xdr:to>
    <xdr:pic>
      <xdr:nvPicPr>
        <xdr:cNvPr id="74878" name="Рисунок 2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32" b="-76"/>
        <a:stretch>
          <a:fillRect/>
        </a:stretch>
      </xdr:blipFill>
      <xdr:spPr bwMode="auto">
        <a:xfrm>
          <a:off x="632460" y="9311640"/>
          <a:ext cx="162306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33</xdr:row>
      <xdr:rowOff>7620</xdr:rowOff>
    </xdr:from>
    <xdr:to>
      <xdr:col>3</xdr:col>
      <xdr:colOff>426720</xdr:colOff>
      <xdr:row>37</xdr:row>
      <xdr:rowOff>0</xdr:rowOff>
    </xdr:to>
    <xdr:pic>
      <xdr:nvPicPr>
        <xdr:cNvPr id="74879" name="Рисунок 2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17" b="56"/>
        <a:stretch>
          <a:fillRect/>
        </a:stretch>
      </xdr:blipFill>
      <xdr:spPr bwMode="auto">
        <a:xfrm>
          <a:off x="617220" y="10096500"/>
          <a:ext cx="163830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35</xdr:row>
      <xdr:rowOff>15240</xdr:rowOff>
    </xdr:from>
    <xdr:to>
      <xdr:col>3</xdr:col>
      <xdr:colOff>441960</xdr:colOff>
      <xdr:row>38</xdr:row>
      <xdr:rowOff>129540</xdr:rowOff>
    </xdr:to>
    <xdr:pic>
      <xdr:nvPicPr>
        <xdr:cNvPr id="74880" name="Рисунок 2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3"/>
        <a:stretch>
          <a:fillRect/>
        </a:stretch>
      </xdr:blipFill>
      <xdr:spPr bwMode="auto">
        <a:xfrm>
          <a:off x="617220" y="11018520"/>
          <a:ext cx="165354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34</xdr:row>
      <xdr:rowOff>7620</xdr:rowOff>
    </xdr:from>
    <xdr:to>
      <xdr:col>3</xdr:col>
      <xdr:colOff>426720</xdr:colOff>
      <xdr:row>38</xdr:row>
      <xdr:rowOff>0</xdr:rowOff>
    </xdr:to>
    <xdr:pic>
      <xdr:nvPicPr>
        <xdr:cNvPr id="74881" name="Рисунок 2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8" b="-99"/>
        <a:stretch>
          <a:fillRect/>
        </a:stretch>
      </xdr:blipFill>
      <xdr:spPr bwMode="auto">
        <a:xfrm>
          <a:off x="632460" y="10645140"/>
          <a:ext cx="162306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32</xdr:row>
      <xdr:rowOff>7620</xdr:rowOff>
    </xdr:from>
    <xdr:to>
      <xdr:col>3</xdr:col>
      <xdr:colOff>419100</xdr:colOff>
      <xdr:row>36</xdr:row>
      <xdr:rowOff>0</xdr:rowOff>
    </xdr:to>
    <xdr:pic>
      <xdr:nvPicPr>
        <xdr:cNvPr id="74882" name="Рисунок 2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6" b="93"/>
        <a:stretch>
          <a:fillRect/>
        </a:stretch>
      </xdr:blipFill>
      <xdr:spPr bwMode="auto">
        <a:xfrm>
          <a:off x="640080" y="9547860"/>
          <a:ext cx="160782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37</xdr:row>
      <xdr:rowOff>7620</xdr:rowOff>
    </xdr:from>
    <xdr:to>
      <xdr:col>3</xdr:col>
      <xdr:colOff>441960</xdr:colOff>
      <xdr:row>40</xdr:row>
      <xdr:rowOff>144780</xdr:rowOff>
    </xdr:to>
    <xdr:pic>
      <xdr:nvPicPr>
        <xdr:cNvPr id="74883" name="Рисунок 2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98" b="-79"/>
        <a:stretch>
          <a:fillRect/>
        </a:stretch>
      </xdr:blipFill>
      <xdr:spPr bwMode="auto">
        <a:xfrm>
          <a:off x="617220" y="11574780"/>
          <a:ext cx="165354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41</xdr:row>
      <xdr:rowOff>0</xdr:rowOff>
    </xdr:from>
    <xdr:to>
      <xdr:col>3</xdr:col>
      <xdr:colOff>419100</xdr:colOff>
      <xdr:row>44</xdr:row>
      <xdr:rowOff>83820</xdr:rowOff>
    </xdr:to>
    <xdr:pic>
      <xdr:nvPicPr>
        <xdr:cNvPr id="74884" name="Рисунок 2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9" b="3"/>
        <a:stretch>
          <a:fillRect/>
        </a:stretch>
      </xdr:blipFill>
      <xdr:spPr bwMode="auto">
        <a:xfrm>
          <a:off x="632460" y="13464540"/>
          <a:ext cx="16154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7620</xdr:rowOff>
    </xdr:from>
    <xdr:to>
      <xdr:col>3</xdr:col>
      <xdr:colOff>441960</xdr:colOff>
      <xdr:row>48</xdr:row>
      <xdr:rowOff>106680</xdr:rowOff>
    </xdr:to>
    <xdr:pic>
      <xdr:nvPicPr>
        <xdr:cNvPr id="74885" name="Рисунок 2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-66"/>
        <a:stretch>
          <a:fillRect/>
        </a:stretch>
      </xdr:blipFill>
      <xdr:spPr bwMode="auto">
        <a:xfrm>
          <a:off x="617220" y="14676120"/>
          <a:ext cx="16535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15240</xdr:rowOff>
    </xdr:from>
    <xdr:to>
      <xdr:col>3</xdr:col>
      <xdr:colOff>426720</xdr:colOff>
      <xdr:row>49</xdr:row>
      <xdr:rowOff>99060</xdr:rowOff>
    </xdr:to>
    <xdr:pic>
      <xdr:nvPicPr>
        <xdr:cNvPr id="74886" name="Рисунок 3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5" b="35"/>
        <a:stretch>
          <a:fillRect/>
        </a:stretch>
      </xdr:blipFill>
      <xdr:spPr bwMode="auto">
        <a:xfrm>
          <a:off x="609600" y="15049500"/>
          <a:ext cx="164592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48</xdr:row>
      <xdr:rowOff>7620</xdr:rowOff>
    </xdr:from>
    <xdr:to>
      <xdr:col>3</xdr:col>
      <xdr:colOff>441960</xdr:colOff>
      <xdr:row>51</xdr:row>
      <xdr:rowOff>137160</xdr:rowOff>
    </xdr:to>
    <xdr:pic>
      <xdr:nvPicPr>
        <xdr:cNvPr id="74887" name="Рисунок 3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4" b="-119"/>
        <a:stretch>
          <a:fillRect/>
        </a:stretch>
      </xdr:blipFill>
      <xdr:spPr bwMode="auto">
        <a:xfrm>
          <a:off x="617220" y="15605760"/>
          <a:ext cx="16535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49</xdr:row>
      <xdr:rowOff>15240</xdr:rowOff>
    </xdr:from>
    <xdr:to>
      <xdr:col>3</xdr:col>
      <xdr:colOff>441960</xdr:colOff>
      <xdr:row>52</xdr:row>
      <xdr:rowOff>129540</xdr:rowOff>
    </xdr:to>
    <xdr:pic>
      <xdr:nvPicPr>
        <xdr:cNvPr id="74888" name="Рисунок 3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58" b="-134"/>
        <a:stretch>
          <a:fillRect/>
        </a:stretch>
      </xdr:blipFill>
      <xdr:spPr bwMode="auto">
        <a:xfrm>
          <a:off x="632460" y="15979140"/>
          <a:ext cx="16383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7620</xdr:rowOff>
    </xdr:from>
    <xdr:to>
      <xdr:col>3</xdr:col>
      <xdr:colOff>441960</xdr:colOff>
      <xdr:row>60</xdr:row>
      <xdr:rowOff>144780</xdr:rowOff>
    </xdr:to>
    <xdr:pic>
      <xdr:nvPicPr>
        <xdr:cNvPr id="74889" name="Рисунок 12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-66"/>
        <a:stretch>
          <a:fillRect/>
        </a:stretch>
      </xdr:blipFill>
      <xdr:spPr bwMode="auto">
        <a:xfrm>
          <a:off x="617220" y="18653760"/>
          <a:ext cx="165354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3</xdr:col>
      <xdr:colOff>426720</xdr:colOff>
      <xdr:row>54</xdr:row>
      <xdr:rowOff>60960</xdr:rowOff>
    </xdr:to>
    <xdr:pic>
      <xdr:nvPicPr>
        <xdr:cNvPr id="74890" name="Рисунок 3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17" b="-116"/>
        <a:stretch>
          <a:fillRect/>
        </a:stretch>
      </xdr:blipFill>
      <xdr:spPr bwMode="auto">
        <a:xfrm>
          <a:off x="617220" y="16718280"/>
          <a:ext cx="163830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54</xdr:row>
      <xdr:rowOff>7620</xdr:rowOff>
    </xdr:from>
    <xdr:to>
      <xdr:col>3</xdr:col>
      <xdr:colOff>441960</xdr:colOff>
      <xdr:row>57</xdr:row>
      <xdr:rowOff>99060</xdr:rowOff>
    </xdr:to>
    <xdr:pic>
      <xdr:nvPicPr>
        <xdr:cNvPr id="74891" name="Рисунок 3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8" b="-124"/>
        <a:stretch>
          <a:fillRect/>
        </a:stretch>
      </xdr:blipFill>
      <xdr:spPr bwMode="auto">
        <a:xfrm>
          <a:off x="632460" y="17556480"/>
          <a:ext cx="163830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7620</xdr:rowOff>
    </xdr:from>
    <xdr:to>
      <xdr:col>3</xdr:col>
      <xdr:colOff>426720</xdr:colOff>
      <xdr:row>56</xdr:row>
      <xdr:rowOff>91440</xdr:rowOff>
    </xdr:to>
    <xdr:pic>
      <xdr:nvPicPr>
        <xdr:cNvPr id="74892" name="Рисунок 13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9586" r="15" b="10985"/>
        <a:stretch>
          <a:fillRect/>
        </a:stretch>
      </xdr:blipFill>
      <xdr:spPr bwMode="auto">
        <a:xfrm>
          <a:off x="617220" y="17190720"/>
          <a:ext cx="1638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56</xdr:row>
      <xdr:rowOff>7620</xdr:rowOff>
    </xdr:from>
    <xdr:to>
      <xdr:col>3</xdr:col>
      <xdr:colOff>441960</xdr:colOff>
      <xdr:row>59</xdr:row>
      <xdr:rowOff>99060</xdr:rowOff>
    </xdr:to>
    <xdr:pic>
      <xdr:nvPicPr>
        <xdr:cNvPr id="74893" name="Рисунок 3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7" b="110"/>
        <a:stretch>
          <a:fillRect/>
        </a:stretch>
      </xdr:blipFill>
      <xdr:spPr bwMode="auto">
        <a:xfrm>
          <a:off x="617220" y="18288000"/>
          <a:ext cx="165354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59</xdr:row>
      <xdr:rowOff>7620</xdr:rowOff>
    </xdr:from>
    <xdr:to>
      <xdr:col>3</xdr:col>
      <xdr:colOff>449580</xdr:colOff>
      <xdr:row>62</xdr:row>
      <xdr:rowOff>137160</xdr:rowOff>
    </xdr:to>
    <xdr:pic>
      <xdr:nvPicPr>
        <xdr:cNvPr id="74894" name="Рисунок 3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2" b="-107"/>
        <a:stretch>
          <a:fillRect/>
        </a:stretch>
      </xdr:blipFill>
      <xdr:spPr bwMode="auto">
        <a:xfrm>
          <a:off x="617220" y="19568160"/>
          <a:ext cx="166116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58</xdr:row>
      <xdr:rowOff>7620</xdr:rowOff>
    </xdr:from>
    <xdr:to>
      <xdr:col>3</xdr:col>
      <xdr:colOff>426720</xdr:colOff>
      <xdr:row>61</xdr:row>
      <xdr:rowOff>99060</xdr:rowOff>
    </xdr:to>
    <xdr:pic>
      <xdr:nvPicPr>
        <xdr:cNvPr id="74895" name="Рисунок 4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6" b="85"/>
        <a:stretch>
          <a:fillRect/>
        </a:stretch>
      </xdr:blipFill>
      <xdr:spPr bwMode="auto">
        <a:xfrm>
          <a:off x="632460" y="19019520"/>
          <a:ext cx="162306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52</xdr:row>
      <xdr:rowOff>7620</xdr:rowOff>
    </xdr:from>
    <xdr:to>
      <xdr:col>3</xdr:col>
      <xdr:colOff>441960</xdr:colOff>
      <xdr:row>55</xdr:row>
      <xdr:rowOff>83820</xdr:rowOff>
    </xdr:to>
    <xdr:pic>
      <xdr:nvPicPr>
        <xdr:cNvPr id="74896" name="Рисунок 4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5" b="61"/>
        <a:stretch>
          <a:fillRect/>
        </a:stretch>
      </xdr:blipFill>
      <xdr:spPr bwMode="auto">
        <a:xfrm>
          <a:off x="632460" y="16954500"/>
          <a:ext cx="163830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55</xdr:row>
      <xdr:rowOff>15240</xdr:rowOff>
    </xdr:from>
    <xdr:to>
      <xdr:col>3</xdr:col>
      <xdr:colOff>426720</xdr:colOff>
      <xdr:row>58</xdr:row>
      <xdr:rowOff>106680</xdr:rowOff>
    </xdr:to>
    <xdr:pic>
      <xdr:nvPicPr>
        <xdr:cNvPr id="74897" name="Рисунок 42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6" b="-143"/>
        <a:stretch>
          <a:fillRect/>
        </a:stretch>
      </xdr:blipFill>
      <xdr:spPr bwMode="auto">
        <a:xfrm>
          <a:off x="632460" y="17929860"/>
          <a:ext cx="162306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60</xdr:row>
      <xdr:rowOff>7620</xdr:rowOff>
    </xdr:from>
    <xdr:to>
      <xdr:col>3</xdr:col>
      <xdr:colOff>441960</xdr:colOff>
      <xdr:row>63</xdr:row>
      <xdr:rowOff>144780</xdr:rowOff>
    </xdr:to>
    <xdr:pic>
      <xdr:nvPicPr>
        <xdr:cNvPr id="74898" name="Рисунок 4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043" r="10886" b="9593"/>
        <a:stretch>
          <a:fillRect/>
        </a:stretch>
      </xdr:blipFill>
      <xdr:spPr bwMode="auto">
        <a:xfrm>
          <a:off x="632460" y="19941540"/>
          <a:ext cx="1638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61</xdr:row>
      <xdr:rowOff>7620</xdr:rowOff>
    </xdr:from>
    <xdr:to>
      <xdr:col>3</xdr:col>
      <xdr:colOff>426720</xdr:colOff>
      <xdr:row>64</xdr:row>
      <xdr:rowOff>129540</xdr:rowOff>
    </xdr:to>
    <xdr:pic>
      <xdr:nvPicPr>
        <xdr:cNvPr id="74899" name="Рисунок 4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4485" b="25607"/>
        <a:stretch>
          <a:fillRect/>
        </a:stretch>
      </xdr:blipFill>
      <xdr:spPr bwMode="auto">
        <a:xfrm>
          <a:off x="617220" y="20497800"/>
          <a:ext cx="16383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65</xdr:row>
      <xdr:rowOff>7620</xdr:rowOff>
    </xdr:from>
    <xdr:to>
      <xdr:col>3</xdr:col>
      <xdr:colOff>441960</xdr:colOff>
      <xdr:row>68</xdr:row>
      <xdr:rowOff>175260</xdr:rowOff>
    </xdr:to>
    <xdr:pic>
      <xdr:nvPicPr>
        <xdr:cNvPr id="74900" name="Рисунок 6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1" b="-17"/>
        <a:stretch>
          <a:fillRect/>
        </a:stretch>
      </xdr:blipFill>
      <xdr:spPr bwMode="auto">
        <a:xfrm>
          <a:off x="617220" y="21488400"/>
          <a:ext cx="16535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67</xdr:row>
      <xdr:rowOff>7620</xdr:rowOff>
    </xdr:from>
    <xdr:to>
      <xdr:col>3</xdr:col>
      <xdr:colOff>441960</xdr:colOff>
      <xdr:row>70</xdr:row>
      <xdr:rowOff>160020</xdr:rowOff>
    </xdr:to>
    <xdr:pic>
      <xdr:nvPicPr>
        <xdr:cNvPr id="74901" name="Рисунок 6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2" b="-64"/>
        <a:stretch>
          <a:fillRect/>
        </a:stretch>
      </xdr:blipFill>
      <xdr:spPr bwMode="auto">
        <a:xfrm>
          <a:off x="617220" y="21861780"/>
          <a:ext cx="16535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69</xdr:row>
      <xdr:rowOff>7620</xdr:rowOff>
    </xdr:from>
    <xdr:to>
      <xdr:col>3</xdr:col>
      <xdr:colOff>449580</xdr:colOff>
      <xdr:row>73</xdr:row>
      <xdr:rowOff>0</xdr:rowOff>
    </xdr:to>
    <xdr:pic>
      <xdr:nvPicPr>
        <xdr:cNvPr id="74902" name="Рисунок 6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41" b="3"/>
        <a:stretch>
          <a:fillRect/>
        </a:stretch>
      </xdr:blipFill>
      <xdr:spPr bwMode="auto">
        <a:xfrm>
          <a:off x="617220" y="2223516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3</xdr:col>
      <xdr:colOff>449580</xdr:colOff>
      <xdr:row>74</xdr:row>
      <xdr:rowOff>38100</xdr:rowOff>
    </xdr:to>
    <xdr:pic>
      <xdr:nvPicPr>
        <xdr:cNvPr id="74903" name="Рисунок 6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4" b="166"/>
        <a:stretch>
          <a:fillRect/>
        </a:stretch>
      </xdr:blipFill>
      <xdr:spPr bwMode="auto">
        <a:xfrm>
          <a:off x="609600" y="22837140"/>
          <a:ext cx="166878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71</xdr:row>
      <xdr:rowOff>7620</xdr:rowOff>
    </xdr:from>
    <xdr:to>
      <xdr:col>3</xdr:col>
      <xdr:colOff>441960</xdr:colOff>
      <xdr:row>73</xdr:row>
      <xdr:rowOff>53340</xdr:rowOff>
    </xdr:to>
    <xdr:pic>
      <xdr:nvPicPr>
        <xdr:cNvPr id="74904" name="Рисунок 922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7220" y="22608540"/>
          <a:ext cx="165354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7620</xdr:rowOff>
    </xdr:from>
    <xdr:to>
      <xdr:col>3</xdr:col>
      <xdr:colOff>449580</xdr:colOff>
      <xdr:row>76</xdr:row>
      <xdr:rowOff>175260</xdr:rowOff>
    </xdr:to>
    <xdr:pic>
      <xdr:nvPicPr>
        <xdr:cNvPr id="74905" name="Рисунок 6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1" b="-2"/>
        <a:stretch>
          <a:fillRect/>
        </a:stretch>
      </xdr:blipFill>
      <xdr:spPr bwMode="auto">
        <a:xfrm>
          <a:off x="617220" y="230809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89</xdr:row>
      <xdr:rowOff>0</xdr:rowOff>
    </xdr:from>
    <xdr:to>
      <xdr:col>3</xdr:col>
      <xdr:colOff>449580</xdr:colOff>
      <xdr:row>93</xdr:row>
      <xdr:rowOff>0</xdr:rowOff>
    </xdr:to>
    <xdr:pic>
      <xdr:nvPicPr>
        <xdr:cNvPr id="74906" name="Рисунок 6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3" b="-69"/>
        <a:stretch>
          <a:fillRect/>
        </a:stretch>
      </xdr:blipFill>
      <xdr:spPr bwMode="auto">
        <a:xfrm>
          <a:off x="617220" y="26791920"/>
          <a:ext cx="16611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87</xdr:row>
      <xdr:rowOff>7620</xdr:rowOff>
    </xdr:from>
    <xdr:to>
      <xdr:col>3</xdr:col>
      <xdr:colOff>449580</xdr:colOff>
      <xdr:row>90</xdr:row>
      <xdr:rowOff>175260</xdr:rowOff>
    </xdr:to>
    <xdr:pic>
      <xdr:nvPicPr>
        <xdr:cNvPr id="74907" name="Рисунок 6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29" b="-108"/>
        <a:stretch>
          <a:fillRect/>
        </a:stretch>
      </xdr:blipFill>
      <xdr:spPr bwMode="auto">
        <a:xfrm>
          <a:off x="617220" y="2633472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85</xdr:row>
      <xdr:rowOff>0</xdr:rowOff>
    </xdr:from>
    <xdr:to>
      <xdr:col>3</xdr:col>
      <xdr:colOff>441960</xdr:colOff>
      <xdr:row>89</xdr:row>
      <xdr:rowOff>0</xdr:rowOff>
    </xdr:to>
    <xdr:pic>
      <xdr:nvPicPr>
        <xdr:cNvPr id="74908" name="Рисунок 7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3" b="-89"/>
        <a:stretch>
          <a:fillRect/>
        </a:stretch>
      </xdr:blipFill>
      <xdr:spPr bwMode="auto">
        <a:xfrm>
          <a:off x="632460" y="25862280"/>
          <a:ext cx="163830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75</xdr:row>
      <xdr:rowOff>7620</xdr:rowOff>
    </xdr:from>
    <xdr:to>
      <xdr:col>3</xdr:col>
      <xdr:colOff>449580</xdr:colOff>
      <xdr:row>78</xdr:row>
      <xdr:rowOff>144780</xdr:rowOff>
    </xdr:to>
    <xdr:pic>
      <xdr:nvPicPr>
        <xdr:cNvPr id="74909" name="Рисунок 7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0" b="-29"/>
        <a:stretch>
          <a:fillRect/>
        </a:stretch>
      </xdr:blipFill>
      <xdr:spPr bwMode="auto">
        <a:xfrm>
          <a:off x="632460" y="23545800"/>
          <a:ext cx="16459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77</xdr:row>
      <xdr:rowOff>7620</xdr:rowOff>
    </xdr:from>
    <xdr:to>
      <xdr:col>3</xdr:col>
      <xdr:colOff>449580</xdr:colOff>
      <xdr:row>80</xdr:row>
      <xdr:rowOff>175260</xdr:rowOff>
    </xdr:to>
    <xdr:pic>
      <xdr:nvPicPr>
        <xdr:cNvPr id="74910" name="Рисунок 7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6" b="-124"/>
        <a:stretch>
          <a:fillRect/>
        </a:stretch>
      </xdr:blipFill>
      <xdr:spPr bwMode="auto">
        <a:xfrm>
          <a:off x="617220" y="2401062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91</xdr:row>
      <xdr:rowOff>7620</xdr:rowOff>
    </xdr:from>
    <xdr:to>
      <xdr:col>3</xdr:col>
      <xdr:colOff>449580</xdr:colOff>
      <xdr:row>95</xdr:row>
      <xdr:rowOff>0</xdr:rowOff>
    </xdr:to>
    <xdr:pic>
      <xdr:nvPicPr>
        <xdr:cNvPr id="74911" name="Рисунок 73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5" b="41"/>
        <a:stretch>
          <a:fillRect/>
        </a:stretch>
      </xdr:blipFill>
      <xdr:spPr bwMode="auto">
        <a:xfrm>
          <a:off x="617220" y="27264360"/>
          <a:ext cx="16611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3</xdr:col>
      <xdr:colOff>449580</xdr:colOff>
      <xdr:row>96</xdr:row>
      <xdr:rowOff>175260</xdr:rowOff>
    </xdr:to>
    <xdr:pic>
      <xdr:nvPicPr>
        <xdr:cNvPr id="74912" name="Рисунок 74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9" b="-79"/>
        <a:stretch>
          <a:fillRect/>
        </a:stretch>
      </xdr:blipFill>
      <xdr:spPr bwMode="auto">
        <a:xfrm>
          <a:off x="617220" y="277291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3</xdr:col>
      <xdr:colOff>449580</xdr:colOff>
      <xdr:row>101</xdr:row>
      <xdr:rowOff>0</xdr:rowOff>
    </xdr:to>
    <xdr:pic>
      <xdr:nvPicPr>
        <xdr:cNvPr id="74913" name="Рисунок 7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4" b="98"/>
        <a:stretch>
          <a:fillRect/>
        </a:stretch>
      </xdr:blipFill>
      <xdr:spPr bwMode="auto">
        <a:xfrm>
          <a:off x="609600" y="28651200"/>
          <a:ext cx="166878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7620</xdr:rowOff>
    </xdr:from>
    <xdr:to>
      <xdr:col>3</xdr:col>
      <xdr:colOff>449580</xdr:colOff>
      <xdr:row>99</xdr:row>
      <xdr:rowOff>0</xdr:rowOff>
    </xdr:to>
    <xdr:pic>
      <xdr:nvPicPr>
        <xdr:cNvPr id="74914" name="Рисунок 76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34" b="-60"/>
        <a:stretch>
          <a:fillRect/>
        </a:stretch>
      </xdr:blipFill>
      <xdr:spPr bwMode="auto">
        <a:xfrm>
          <a:off x="609600" y="28194000"/>
          <a:ext cx="166878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102</xdr:row>
      <xdr:rowOff>7620</xdr:rowOff>
    </xdr:from>
    <xdr:to>
      <xdr:col>3</xdr:col>
      <xdr:colOff>449580</xdr:colOff>
      <xdr:row>105</xdr:row>
      <xdr:rowOff>7620</xdr:rowOff>
    </xdr:to>
    <xdr:pic>
      <xdr:nvPicPr>
        <xdr:cNvPr id="74915" name="Рисунок 7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1587" b="33289"/>
        <a:stretch>
          <a:fillRect/>
        </a:stretch>
      </xdr:blipFill>
      <xdr:spPr bwMode="auto">
        <a:xfrm>
          <a:off x="617220" y="30594300"/>
          <a:ext cx="16611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101</xdr:row>
      <xdr:rowOff>7620</xdr:rowOff>
    </xdr:from>
    <xdr:to>
      <xdr:col>3</xdr:col>
      <xdr:colOff>449580</xdr:colOff>
      <xdr:row>104</xdr:row>
      <xdr:rowOff>15240</xdr:rowOff>
    </xdr:to>
    <xdr:pic>
      <xdr:nvPicPr>
        <xdr:cNvPr id="74916" name="Рисунок 7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1" b="33670"/>
        <a:stretch>
          <a:fillRect/>
        </a:stretch>
      </xdr:blipFill>
      <xdr:spPr bwMode="auto">
        <a:xfrm>
          <a:off x="617220" y="29862780"/>
          <a:ext cx="166116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7620</xdr:rowOff>
    </xdr:from>
    <xdr:to>
      <xdr:col>3</xdr:col>
      <xdr:colOff>449580</xdr:colOff>
      <xdr:row>82</xdr:row>
      <xdr:rowOff>152400</xdr:rowOff>
    </xdr:to>
    <xdr:pic>
      <xdr:nvPicPr>
        <xdr:cNvPr id="74917" name="Рисунок 79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12" b="-23"/>
        <a:stretch>
          <a:fillRect/>
        </a:stretch>
      </xdr:blipFill>
      <xdr:spPr bwMode="auto">
        <a:xfrm>
          <a:off x="617220" y="2447544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100</xdr:row>
      <xdr:rowOff>7620</xdr:rowOff>
    </xdr:from>
    <xdr:to>
      <xdr:col>3</xdr:col>
      <xdr:colOff>449580</xdr:colOff>
      <xdr:row>103</xdr:row>
      <xdr:rowOff>7620</xdr:rowOff>
    </xdr:to>
    <xdr:pic>
      <xdr:nvPicPr>
        <xdr:cNvPr id="74918" name="Рисунок 80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60" b="-85"/>
        <a:stretch>
          <a:fillRect/>
        </a:stretch>
      </xdr:blipFill>
      <xdr:spPr bwMode="auto">
        <a:xfrm>
          <a:off x="617220" y="29314140"/>
          <a:ext cx="166116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3</xdr:col>
      <xdr:colOff>449580</xdr:colOff>
      <xdr:row>84</xdr:row>
      <xdr:rowOff>175260</xdr:rowOff>
    </xdr:to>
    <xdr:pic>
      <xdr:nvPicPr>
        <xdr:cNvPr id="74919" name="Рисунок 8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53"/>
        <a:stretch>
          <a:fillRect/>
        </a:stretch>
      </xdr:blipFill>
      <xdr:spPr bwMode="auto">
        <a:xfrm>
          <a:off x="609600" y="24932640"/>
          <a:ext cx="16687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83</xdr:row>
      <xdr:rowOff>0</xdr:rowOff>
    </xdr:from>
    <xdr:to>
      <xdr:col>3</xdr:col>
      <xdr:colOff>449580</xdr:colOff>
      <xdr:row>86</xdr:row>
      <xdr:rowOff>175260</xdr:rowOff>
    </xdr:to>
    <xdr:pic>
      <xdr:nvPicPr>
        <xdr:cNvPr id="74920" name="Рисунок 8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1" b="-98"/>
        <a:stretch>
          <a:fillRect/>
        </a:stretch>
      </xdr:blipFill>
      <xdr:spPr bwMode="auto">
        <a:xfrm>
          <a:off x="617220" y="25397460"/>
          <a:ext cx="16611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3</xdr:col>
      <xdr:colOff>449580</xdr:colOff>
      <xdr:row>106</xdr:row>
      <xdr:rowOff>15240</xdr:rowOff>
    </xdr:to>
    <xdr:pic>
      <xdr:nvPicPr>
        <xdr:cNvPr id="74921" name="Рисунок 83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1" b="81"/>
        <a:stretch>
          <a:fillRect/>
        </a:stretch>
      </xdr:blipFill>
      <xdr:spPr bwMode="auto">
        <a:xfrm>
          <a:off x="609600" y="31135320"/>
          <a:ext cx="166878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105</xdr:row>
      <xdr:rowOff>7620</xdr:rowOff>
    </xdr:from>
    <xdr:to>
      <xdr:col>3</xdr:col>
      <xdr:colOff>449580</xdr:colOff>
      <xdr:row>108</xdr:row>
      <xdr:rowOff>60960</xdr:rowOff>
    </xdr:to>
    <xdr:pic>
      <xdr:nvPicPr>
        <xdr:cNvPr id="74922" name="Рисунок 84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" b="81"/>
        <a:stretch>
          <a:fillRect/>
        </a:stretch>
      </xdr:blipFill>
      <xdr:spPr bwMode="auto">
        <a:xfrm>
          <a:off x="617220" y="31889700"/>
          <a:ext cx="166116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106</xdr:row>
      <xdr:rowOff>7620</xdr:rowOff>
    </xdr:from>
    <xdr:to>
      <xdr:col>3</xdr:col>
      <xdr:colOff>449580</xdr:colOff>
      <xdr:row>109</xdr:row>
      <xdr:rowOff>45720</xdr:rowOff>
    </xdr:to>
    <xdr:pic>
      <xdr:nvPicPr>
        <xdr:cNvPr id="74923" name="Рисунок 85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32" b="-119"/>
        <a:stretch>
          <a:fillRect/>
        </a:stretch>
      </xdr:blipFill>
      <xdr:spPr bwMode="auto">
        <a:xfrm>
          <a:off x="617220" y="3262122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108</xdr:row>
      <xdr:rowOff>7620</xdr:rowOff>
    </xdr:from>
    <xdr:to>
      <xdr:col>3</xdr:col>
      <xdr:colOff>449580</xdr:colOff>
      <xdr:row>113</xdr:row>
      <xdr:rowOff>91440</xdr:rowOff>
    </xdr:to>
    <xdr:pic>
      <xdr:nvPicPr>
        <xdr:cNvPr id="74924" name="Рисунок 8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43" b="-73"/>
        <a:stretch>
          <a:fillRect/>
        </a:stretch>
      </xdr:blipFill>
      <xdr:spPr bwMode="auto">
        <a:xfrm>
          <a:off x="617220" y="33185100"/>
          <a:ext cx="166116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112</xdr:row>
      <xdr:rowOff>0</xdr:rowOff>
    </xdr:from>
    <xdr:to>
      <xdr:col>3</xdr:col>
      <xdr:colOff>449580</xdr:colOff>
      <xdr:row>115</xdr:row>
      <xdr:rowOff>175260</xdr:rowOff>
    </xdr:to>
    <xdr:pic>
      <xdr:nvPicPr>
        <xdr:cNvPr id="74925" name="Рисунок 87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67" b="107"/>
        <a:stretch>
          <a:fillRect/>
        </a:stretch>
      </xdr:blipFill>
      <xdr:spPr bwMode="auto">
        <a:xfrm>
          <a:off x="617220" y="34107120"/>
          <a:ext cx="16611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114</xdr:row>
      <xdr:rowOff>7620</xdr:rowOff>
    </xdr:from>
    <xdr:to>
      <xdr:col>3</xdr:col>
      <xdr:colOff>449580</xdr:colOff>
      <xdr:row>118</xdr:row>
      <xdr:rowOff>0</xdr:rowOff>
    </xdr:to>
    <xdr:pic>
      <xdr:nvPicPr>
        <xdr:cNvPr id="74926" name="Рисунок 88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60" b="69"/>
        <a:stretch>
          <a:fillRect/>
        </a:stretch>
      </xdr:blipFill>
      <xdr:spPr bwMode="auto">
        <a:xfrm>
          <a:off x="617220" y="34579560"/>
          <a:ext cx="16611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116</xdr:row>
      <xdr:rowOff>7620</xdr:rowOff>
    </xdr:from>
    <xdr:to>
      <xdr:col>3</xdr:col>
      <xdr:colOff>449580</xdr:colOff>
      <xdr:row>119</xdr:row>
      <xdr:rowOff>175260</xdr:rowOff>
    </xdr:to>
    <xdr:pic>
      <xdr:nvPicPr>
        <xdr:cNvPr id="74927" name="Рисунок 8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3" b="-21"/>
        <a:stretch>
          <a:fillRect/>
        </a:stretch>
      </xdr:blipFill>
      <xdr:spPr bwMode="auto">
        <a:xfrm>
          <a:off x="617220" y="350443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118</xdr:row>
      <xdr:rowOff>7620</xdr:rowOff>
    </xdr:from>
    <xdr:to>
      <xdr:col>3</xdr:col>
      <xdr:colOff>449580</xdr:colOff>
      <xdr:row>121</xdr:row>
      <xdr:rowOff>175260</xdr:rowOff>
    </xdr:to>
    <xdr:pic>
      <xdr:nvPicPr>
        <xdr:cNvPr id="74928" name="Рисунок 90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3" b="58"/>
        <a:stretch>
          <a:fillRect/>
        </a:stretch>
      </xdr:blipFill>
      <xdr:spPr bwMode="auto">
        <a:xfrm>
          <a:off x="617220" y="3550920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120</xdr:row>
      <xdr:rowOff>7620</xdr:rowOff>
    </xdr:from>
    <xdr:to>
      <xdr:col>3</xdr:col>
      <xdr:colOff>449580</xdr:colOff>
      <xdr:row>123</xdr:row>
      <xdr:rowOff>114300</xdr:rowOff>
    </xdr:to>
    <xdr:pic>
      <xdr:nvPicPr>
        <xdr:cNvPr id="74929" name="Рисунок 91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14" b="391"/>
        <a:stretch>
          <a:fillRect/>
        </a:stretch>
      </xdr:blipFill>
      <xdr:spPr bwMode="auto">
        <a:xfrm>
          <a:off x="617220" y="35974020"/>
          <a:ext cx="166116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121</xdr:row>
      <xdr:rowOff>358140</xdr:rowOff>
    </xdr:from>
    <xdr:to>
      <xdr:col>3</xdr:col>
      <xdr:colOff>449580</xdr:colOff>
      <xdr:row>126</xdr:row>
      <xdr:rowOff>91440</xdr:rowOff>
    </xdr:to>
    <xdr:pic>
      <xdr:nvPicPr>
        <xdr:cNvPr id="74930" name="Рисунок 92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8" b="46"/>
        <a:stretch>
          <a:fillRect/>
        </a:stretch>
      </xdr:blipFill>
      <xdr:spPr bwMode="auto">
        <a:xfrm>
          <a:off x="617220" y="36431220"/>
          <a:ext cx="1661160" cy="211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124</xdr:row>
      <xdr:rowOff>0</xdr:rowOff>
    </xdr:from>
    <xdr:to>
      <xdr:col>3</xdr:col>
      <xdr:colOff>449580</xdr:colOff>
      <xdr:row>128</xdr:row>
      <xdr:rowOff>99060</xdr:rowOff>
    </xdr:to>
    <xdr:pic>
      <xdr:nvPicPr>
        <xdr:cNvPr id="74931" name="Рисунок 93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2" b="37"/>
        <a:stretch>
          <a:fillRect/>
        </a:stretch>
      </xdr:blipFill>
      <xdr:spPr bwMode="auto">
        <a:xfrm>
          <a:off x="617220" y="37719000"/>
          <a:ext cx="16611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127</xdr:row>
      <xdr:rowOff>7620</xdr:rowOff>
    </xdr:from>
    <xdr:to>
      <xdr:col>3</xdr:col>
      <xdr:colOff>449580</xdr:colOff>
      <xdr:row>132</xdr:row>
      <xdr:rowOff>175260</xdr:rowOff>
    </xdr:to>
    <xdr:pic>
      <xdr:nvPicPr>
        <xdr:cNvPr id="74932" name="Рисунок 94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79" b="105"/>
        <a:stretch>
          <a:fillRect/>
        </a:stretch>
      </xdr:blipFill>
      <xdr:spPr bwMode="auto">
        <a:xfrm>
          <a:off x="617220" y="38656260"/>
          <a:ext cx="166116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130</xdr:row>
      <xdr:rowOff>7620</xdr:rowOff>
    </xdr:from>
    <xdr:to>
      <xdr:col>3</xdr:col>
      <xdr:colOff>449580</xdr:colOff>
      <xdr:row>133</xdr:row>
      <xdr:rowOff>144780</xdr:rowOff>
    </xdr:to>
    <xdr:pic>
      <xdr:nvPicPr>
        <xdr:cNvPr id="74933" name="Рисунок 95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27" b="12"/>
        <a:stretch>
          <a:fillRect/>
        </a:stretch>
      </xdr:blipFill>
      <xdr:spPr bwMode="auto">
        <a:xfrm>
          <a:off x="617220" y="3935730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132</xdr:row>
      <xdr:rowOff>0</xdr:rowOff>
    </xdr:from>
    <xdr:to>
      <xdr:col>3</xdr:col>
      <xdr:colOff>449580</xdr:colOff>
      <xdr:row>135</xdr:row>
      <xdr:rowOff>137160</xdr:rowOff>
    </xdr:to>
    <xdr:pic>
      <xdr:nvPicPr>
        <xdr:cNvPr id="74934" name="Рисунок 9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61" b="-67"/>
        <a:stretch>
          <a:fillRect/>
        </a:stretch>
      </xdr:blipFill>
      <xdr:spPr bwMode="auto">
        <a:xfrm>
          <a:off x="617220" y="3981450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134</xdr:row>
      <xdr:rowOff>0</xdr:rowOff>
    </xdr:from>
    <xdr:to>
      <xdr:col>3</xdr:col>
      <xdr:colOff>449580</xdr:colOff>
      <xdr:row>137</xdr:row>
      <xdr:rowOff>121920</xdr:rowOff>
    </xdr:to>
    <xdr:pic>
      <xdr:nvPicPr>
        <xdr:cNvPr id="74935" name="Рисунок 97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-2"/>
        <a:stretch>
          <a:fillRect/>
        </a:stretch>
      </xdr:blipFill>
      <xdr:spPr bwMode="auto">
        <a:xfrm>
          <a:off x="617220" y="40279320"/>
          <a:ext cx="16611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136</xdr:row>
      <xdr:rowOff>0</xdr:rowOff>
    </xdr:from>
    <xdr:to>
      <xdr:col>3</xdr:col>
      <xdr:colOff>457200</xdr:colOff>
      <xdr:row>138</xdr:row>
      <xdr:rowOff>137160</xdr:rowOff>
    </xdr:to>
    <xdr:pic>
      <xdr:nvPicPr>
        <xdr:cNvPr id="74936" name="Рисунок 98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6" b="-331"/>
        <a:stretch>
          <a:fillRect/>
        </a:stretch>
      </xdr:blipFill>
      <xdr:spPr bwMode="auto">
        <a:xfrm>
          <a:off x="617220" y="40744140"/>
          <a:ext cx="16687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137</xdr:row>
      <xdr:rowOff>0</xdr:rowOff>
    </xdr:from>
    <xdr:to>
      <xdr:col>3</xdr:col>
      <xdr:colOff>449580</xdr:colOff>
      <xdr:row>139</xdr:row>
      <xdr:rowOff>152400</xdr:rowOff>
    </xdr:to>
    <xdr:pic>
      <xdr:nvPicPr>
        <xdr:cNvPr id="74937" name="Рисунок 9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1432" r="49" b="37"/>
        <a:stretch>
          <a:fillRect/>
        </a:stretch>
      </xdr:blipFill>
      <xdr:spPr bwMode="auto">
        <a:xfrm>
          <a:off x="617220" y="40980360"/>
          <a:ext cx="16611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138</xdr:row>
      <xdr:rowOff>7620</xdr:rowOff>
    </xdr:from>
    <xdr:to>
      <xdr:col>3</xdr:col>
      <xdr:colOff>449580</xdr:colOff>
      <xdr:row>140</xdr:row>
      <xdr:rowOff>175260</xdr:rowOff>
    </xdr:to>
    <xdr:pic>
      <xdr:nvPicPr>
        <xdr:cNvPr id="74938" name="Рисунок 10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23" b="-18"/>
        <a:stretch>
          <a:fillRect/>
        </a:stretch>
      </xdr:blipFill>
      <xdr:spPr bwMode="auto">
        <a:xfrm>
          <a:off x="617220" y="41361360"/>
          <a:ext cx="16611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139</xdr:row>
      <xdr:rowOff>7620</xdr:rowOff>
    </xdr:from>
    <xdr:to>
      <xdr:col>3</xdr:col>
      <xdr:colOff>449580</xdr:colOff>
      <xdr:row>142</xdr:row>
      <xdr:rowOff>45720</xdr:rowOff>
    </xdr:to>
    <xdr:pic>
      <xdr:nvPicPr>
        <xdr:cNvPr id="74939" name="Рисунок 101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5"/>
        <a:stretch>
          <a:fillRect/>
        </a:stretch>
      </xdr:blipFill>
      <xdr:spPr bwMode="auto">
        <a:xfrm>
          <a:off x="617220" y="4173474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182880</xdr:colOff>
      <xdr:row>141</xdr:row>
      <xdr:rowOff>7620</xdr:rowOff>
    </xdr:from>
    <xdr:to>
      <xdr:col>3</xdr:col>
      <xdr:colOff>259080</xdr:colOff>
      <xdr:row>144</xdr:row>
      <xdr:rowOff>99060</xdr:rowOff>
    </xdr:to>
    <xdr:pic>
      <xdr:nvPicPr>
        <xdr:cNvPr id="74940" name="Рисунок 102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6" b="-93"/>
        <a:stretch>
          <a:fillRect/>
        </a:stretch>
      </xdr:blipFill>
      <xdr:spPr bwMode="auto">
        <a:xfrm>
          <a:off x="792480" y="42298620"/>
          <a:ext cx="12954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312420</xdr:colOff>
      <xdr:row>148</xdr:row>
      <xdr:rowOff>38100</xdr:rowOff>
    </xdr:from>
    <xdr:to>
      <xdr:col>3</xdr:col>
      <xdr:colOff>76200</xdr:colOff>
      <xdr:row>151</xdr:row>
      <xdr:rowOff>137160</xdr:rowOff>
    </xdr:to>
    <xdr:pic>
      <xdr:nvPicPr>
        <xdr:cNvPr id="74941" name="Рисунок 103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-85"/>
        <a:stretch>
          <a:fillRect/>
        </a:stretch>
      </xdr:blipFill>
      <xdr:spPr bwMode="auto">
        <a:xfrm>
          <a:off x="922020" y="45118020"/>
          <a:ext cx="9829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3</xdr:col>
      <xdr:colOff>449580</xdr:colOff>
      <xdr:row>176</xdr:row>
      <xdr:rowOff>76200</xdr:rowOff>
    </xdr:to>
    <xdr:pic>
      <xdr:nvPicPr>
        <xdr:cNvPr id="74942" name="Рисунок 104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24" b="-313"/>
        <a:stretch>
          <a:fillRect/>
        </a:stretch>
      </xdr:blipFill>
      <xdr:spPr bwMode="auto">
        <a:xfrm>
          <a:off x="609600" y="54223920"/>
          <a:ext cx="16687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175</xdr:row>
      <xdr:rowOff>7620</xdr:rowOff>
    </xdr:from>
    <xdr:to>
      <xdr:col>3</xdr:col>
      <xdr:colOff>449580</xdr:colOff>
      <xdr:row>177</xdr:row>
      <xdr:rowOff>68580</xdr:rowOff>
    </xdr:to>
    <xdr:pic>
      <xdr:nvPicPr>
        <xdr:cNvPr id="74943" name="Рисунок 17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54460140"/>
          <a:ext cx="166878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153</xdr:row>
      <xdr:rowOff>45720</xdr:rowOff>
    </xdr:from>
    <xdr:to>
      <xdr:col>3</xdr:col>
      <xdr:colOff>30480</xdr:colOff>
      <xdr:row>156</xdr:row>
      <xdr:rowOff>106680</xdr:rowOff>
    </xdr:to>
    <xdr:pic>
      <xdr:nvPicPr>
        <xdr:cNvPr id="74944" name="Рисунок 106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" b="47"/>
        <a:stretch>
          <a:fillRect/>
        </a:stretch>
      </xdr:blipFill>
      <xdr:spPr bwMode="auto">
        <a:xfrm>
          <a:off x="998220" y="46413420"/>
          <a:ext cx="86106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327660</xdr:colOff>
      <xdr:row>150</xdr:row>
      <xdr:rowOff>30480</xdr:rowOff>
    </xdr:from>
    <xdr:to>
      <xdr:col>3</xdr:col>
      <xdr:colOff>30480</xdr:colOff>
      <xdr:row>153</xdr:row>
      <xdr:rowOff>152400</xdr:rowOff>
    </xdr:to>
    <xdr:pic>
      <xdr:nvPicPr>
        <xdr:cNvPr id="74945" name="Рисунок 107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" b="8"/>
        <a:stretch>
          <a:fillRect/>
        </a:stretch>
      </xdr:blipFill>
      <xdr:spPr bwMode="auto">
        <a:xfrm>
          <a:off x="937260" y="45575220"/>
          <a:ext cx="92202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449580</xdr:colOff>
      <xdr:row>156</xdr:row>
      <xdr:rowOff>7620</xdr:rowOff>
    </xdr:from>
    <xdr:to>
      <xdr:col>3</xdr:col>
      <xdr:colOff>7620</xdr:colOff>
      <xdr:row>159</xdr:row>
      <xdr:rowOff>152400</xdr:rowOff>
    </xdr:to>
    <xdr:pic>
      <xdr:nvPicPr>
        <xdr:cNvPr id="74946" name="Рисунок 108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8" b="-58"/>
        <a:stretch>
          <a:fillRect/>
        </a:stretch>
      </xdr:blipFill>
      <xdr:spPr bwMode="auto">
        <a:xfrm>
          <a:off x="1059180" y="47655480"/>
          <a:ext cx="77724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157</xdr:row>
      <xdr:rowOff>15240</xdr:rowOff>
    </xdr:from>
    <xdr:to>
      <xdr:col>2</xdr:col>
      <xdr:colOff>594360</xdr:colOff>
      <xdr:row>160</xdr:row>
      <xdr:rowOff>137160</xdr:rowOff>
    </xdr:to>
    <xdr:pic>
      <xdr:nvPicPr>
        <xdr:cNvPr id="74947" name="Рисунок 109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49" b="40"/>
        <a:stretch>
          <a:fillRect/>
        </a:stretch>
      </xdr:blipFill>
      <xdr:spPr bwMode="auto">
        <a:xfrm>
          <a:off x="1028700" y="48211740"/>
          <a:ext cx="7848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154</xdr:row>
      <xdr:rowOff>30480</xdr:rowOff>
    </xdr:from>
    <xdr:to>
      <xdr:col>3</xdr:col>
      <xdr:colOff>22860</xdr:colOff>
      <xdr:row>157</xdr:row>
      <xdr:rowOff>99060</xdr:rowOff>
    </xdr:to>
    <xdr:pic>
      <xdr:nvPicPr>
        <xdr:cNvPr id="74948" name="Рисунок 110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8" b="-56"/>
        <a:stretch>
          <a:fillRect/>
        </a:stretch>
      </xdr:blipFill>
      <xdr:spPr bwMode="auto">
        <a:xfrm>
          <a:off x="1013460" y="46763940"/>
          <a:ext cx="83820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155</xdr:row>
      <xdr:rowOff>22860</xdr:rowOff>
    </xdr:from>
    <xdr:to>
      <xdr:col>3</xdr:col>
      <xdr:colOff>30480</xdr:colOff>
      <xdr:row>158</xdr:row>
      <xdr:rowOff>137160</xdr:rowOff>
    </xdr:to>
    <xdr:pic>
      <xdr:nvPicPr>
        <xdr:cNvPr id="74949" name="Рисунок 111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" b="-56"/>
        <a:stretch>
          <a:fillRect/>
        </a:stretch>
      </xdr:blipFill>
      <xdr:spPr bwMode="auto">
        <a:xfrm>
          <a:off x="1028700" y="47304960"/>
          <a:ext cx="8305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152</xdr:row>
      <xdr:rowOff>7620</xdr:rowOff>
    </xdr:from>
    <xdr:to>
      <xdr:col>3</xdr:col>
      <xdr:colOff>76200</xdr:colOff>
      <xdr:row>155</xdr:row>
      <xdr:rowOff>91440</xdr:rowOff>
    </xdr:to>
    <xdr:pic>
      <xdr:nvPicPr>
        <xdr:cNvPr id="74950" name="Рисунок 112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47"/>
        <a:stretch>
          <a:fillRect/>
        </a:stretch>
      </xdr:blipFill>
      <xdr:spPr bwMode="auto">
        <a:xfrm>
          <a:off x="1051560" y="46009560"/>
          <a:ext cx="85344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151</xdr:row>
      <xdr:rowOff>15240</xdr:rowOff>
    </xdr:from>
    <xdr:to>
      <xdr:col>3</xdr:col>
      <xdr:colOff>0</xdr:colOff>
      <xdr:row>154</xdr:row>
      <xdr:rowOff>114300</xdr:rowOff>
    </xdr:to>
    <xdr:pic>
      <xdr:nvPicPr>
        <xdr:cNvPr id="74951" name="Рисунок 113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0" b="-21"/>
        <a:stretch>
          <a:fillRect/>
        </a:stretch>
      </xdr:blipFill>
      <xdr:spPr bwMode="auto">
        <a:xfrm>
          <a:off x="1013460" y="45788580"/>
          <a:ext cx="81534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149</xdr:row>
      <xdr:rowOff>15240</xdr:rowOff>
    </xdr:from>
    <xdr:to>
      <xdr:col>2</xdr:col>
      <xdr:colOff>601980</xdr:colOff>
      <xdr:row>152</xdr:row>
      <xdr:rowOff>144780</xdr:rowOff>
    </xdr:to>
    <xdr:pic>
      <xdr:nvPicPr>
        <xdr:cNvPr id="74952" name="Рисунок 114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18" b="43"/>
        <a:stretch>
          <a:fillRect/>
        </a:stretch>
      </xdr:blipFill>
      <xdr:spPr bwMode="auto">
        <a:xfrm>
          <a:off x="998220" y="45331380"/>
          <a:ext cx="8229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146</xdr:row>
      <xdr:rowOff>30480</xdr:rowOff>
    </xdr:from>
    <xdr:to>
      <xdr:col>3</xdr:col>
      <xdr:colOff>45720</xdr:colOff>
      <xdr:row>149</xdr:row>
      <xdr:rowOff>15240</xdr:rowOff>
    </xdr:to>
    <xdr:pic>
      <xdr:nvPicPr>
        <xdr:cNvPr id="74953" name="Рисунок 115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" b="23"/>
        <a:stretch>
          <a:fillRect/>
        </a:stretch>
      </xdr:blipFill>
      <xdr:spPr bwMode="auto">
        <a:xfrm>
          <a:off x="982980" y="44683680"/>
          <a:ext cx="8915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541020</xdr:colOff>
      <xdr:row>159</xdr:row>
      <xdr:rowOff>15240</xdr:rowOff>
    </xdr:from>
    <xdr:to>
      <xdr:col>2</xdr:col>
      <xdr:colOff>487680</xdr:colOff>
      <xdr:row>162</xdr:row>
      <xdr:rowOff>129540</xdr:rowOff>
    </xdr:to>
    <xdr:pic>
      <xdr:nvPicPr>
        <xdr:cNvPr id="74954" name="Рисунок 116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8" b="15"/>
        <a:stretch>
          <a:fillRect/>
        </a:stretch>
      </xdr:blipFill>
      <xdr:spPr bwMode="auto">
        <a:xfrm>
          <a:off x="1150620" y="48775620"/>
          <a:ext cx="55626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163</xdr:row>
      <xdr:rowOff>15240</xdr:rowOff>
    </xdr:from>
    <xdr:to>
      <xdr:col>2</xdr:col>
      <xdr:colOff>594360</xdr:colOff>
      <xdr:row>166</xdr:row>
      <xdr:rowOff>144780</xdr:rowOff>
    </xdr:to>
    <xdr:pic>
      <xdr:nvPicPr>
        <xdr:cNvPr id="74955" name="Рисунок 117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-50"/>
        <a:stretch>
          <a:fillRect/>
        </a:stretch>
      </xdr:blipFill>
      <xdr:spPr bwMode="auto">
        <a:xfrm>
          <a:off x="975360" y="49994820"/>
          <a:ext cx="83820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162</xdr:row>
      <xdr:rowOff>15240</xdr:rowOff>
    </xdr:from>
    <xdr:to>
      <xdr:col>2</xdr:col>
      <xdr:colOff>419100</xdr:colOff>
      <xdr:row>165</xdr:row>
      <xdr:rowOff>129540</xdr:rowOff>
    </xdr:to>
    <xdr:pic>
      <xdr:nvPicPr>
        <xdr:cNvPr id="74956" name="Рисунок 118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" b="-8"/>
        <a:stretch>
          <a:fillRect/>
        </a:stretch>
      </xdr:blipFill>
      <xdr:spPr bwMode="auto">
        <a:xfrm>
          <a:off x="1104900" y="49621440"/>
          <a:ext cx="533400" cy="1417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161</xdr:row>
      <xdr:rowOff>15240</xdr:rowOff>
    </xdr:from>
    <xdr:to>
      <xdr:col>2</xdr:col>
      <xdr:colOff>487680</xdr:colOff>
      <xdr:row>164</xdr:row>
      <xdr:rowOff>114300</xdr:rowOff>
    </xdr:to>
    <xdr:pic>
      <xdr:nvPicPr>
        <xdr:cNvPr id="74957" name="Рисунок 119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4" b="-27"/>
        <a:stretch>
          <a:fillRect/>
        </a:stretch>
      </xdr:blipFill>
      <xdr:spPr bwMode="auto">
        <a:xfrm>
          <a:off x="1165860" y="49248060"/>
          <a:ext cx="54102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411480</xdr:colOff>
      <xdr:row>164</xdr:row>
      <xdr:rowOff>15240</xdr:rowOff>
    </xdr:from>
    <xdr:to>
      <xdr:col>2</xdr:col>
      <xdr:colOff>563880</xdr:colOff>
      <xdr:row>167</xdr:row>
      <xdr:rowOff>129540</xdr:rowOff>
    </xdr:to>
    <xdr:pic>
      <xdr:nvPicPr>
        <xdr:cNvPr id="74958" name="Рисунок 120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-26"/>
        <a:stretch>
          <a:fillRect/>
        </a:stretch>
      </xdr:blipFill>
      <xdr:spPr bwMode="auto">
        <a:xfrm>
          <a:off x="1021080" y="50368200"/>
          <a:ext cx="7620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160</xdr:row>
      <xdr:rowOff>15240</xdr:rowOff>
    </xdr:from>
    <xdr:to>
      <xdr:col>2</xdr:col>
      <xdr:colOff>495300</xdr:colOff>
      <xdr:row>163</xdr:row>
      <xdr:rowOff>83820</xdr:rowOff>
    </xdr:to>
    <xdr:pic>
      <xdr:nvPicPr>
        <xdr:cNvPr id="74959" name="Рисунок 121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" b="-8"/>
        <a:stretch>
          <a:fillRect/>
        </a:stretch>
      </xdr:blipFill>
      <xdr:spPr bwMode="auto">
        <a:xfrm>
          <a:off x="1181100" y="49011840"/>
          <a:ext cx="533400" cy="1051560"/>
        </a:xfrm>
        <a:prstGeom prst="rect">
          <a:avLst/>
        </a:prstGeom>
        <a:blipFill dpi="0" rotWithShape="1">
          <a:blip xmlns:r="http://schemas.openxmlformats.org/officeDocument/2006/relationships" r:embed="rId117" cstate="print"/>
          <a:srcRect r="9" b="-8"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3</xdr:row>
      <xdr:rowOff>38100</xdr:rowOff>
    </xdr:from>
    <xdr:to>
      <xdr:col>9</xdr:col>
      <xdr:colOff>266700</xdr:colOff>
      <xdr:row>9</xdr:row>
      <xdr:rowOff>53340</xdr:rowOff>
    </xdr:to>
    <xdr:pic>
      <xdr:nvPicPr>
        <xdr:cNvPr id="74960" name="Рисунок 122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0580" y="586740"/>
          <a:ext cx="492252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227"/>
  <sheetViews>
    <sheetView tabSelected="1" zoomScale="73" zoomScaleNormal="73" workbookViewId="0">
      <selection activeCell="H224" sqref="H224"/>
    </sheetView>
  </sheetViews>
  <sheetFormatPr defaultColWidth="9.109375" defaultRowHeight="18"/>
  <cols>
    <col min="1" max="1" width="4.88671875" style="653" customWidth="1"/>
    <col min="2" max="2" width="23.33203125" style="74" customWidth="1"/>
    <col min="3" max="3" width="28.33203125" style="74" customWidth="1"/>
    <col min="4" max="4" width="10.88671875" style="66" customWidth="1"/>
    <col min="5" max="5" width="20.44140625" style="74" customWidth="1"/>
    <col min="6" max="6" width="10.6640625" style="74" customWidth="1"/>
    <col min="7" max="7" width="12.109375" style="74" bestFit="1" customWidth="1"/>
    <col min="8" max="8" width="13.109375" style="74" customWidth="1"/>
    <col min="9" max="9" width="14.33203125" style="74" customWidth="1"/>
    <col min="10" max="10" width="31.33203125" style="74" customWidth="1"/>
    <col min="11" max="11" width="26" style="74" hidden="1" customWidth="1"/>
    <col min="12" max="12" width="5.88671875" style="74" hidden="1" customWidth="1"/>
    <col min="13" max="13" width="12.21875" style="74" hidden="1" customWidth="1"/>
    <col min="14" max="14" width="12.44140625" style="74" hidden="1" customWidth="1"/>
    <col min="15" max="15" width="18.88671875" style="5" hidden="1" customWidth="1"/>
    <col min="16" max="16" width="11.6640625" style="5" hidden="1" customWidth="1"/>
    <col min="17" max="17" width="11.5546875" style="5" hidden="1" customWidth="1"/>
    <col min="18" max="18" width="7.77734375" style="5" hidden="1" customWidth="1"/>
    <col min="19" max="19" width="9.77734375" style="67" hidden="1" customWidth="1"/>
    <col min="20" max="20" width="13.33203125" style="5" customWidth="1"/>
    <col min="21" max="25" width="9.109375" style="5" customWidth="1"/>
    <col min="26" max="16384" width="9.109375" style="5"/>
  </cols>
  <sheetData>
    <row r="1" spans="1:26" s="74" customFormat="1" ht="20.399999999999999">
      <c r="A1" s="653"/>
      <c r="D1" s="66"/>
      <c r="H1" s="651" t="s">
        <v>175</v>
      </c>
      <c r="I1" s="651"/>
      <c r="J1" s="651"/>
      <c r="K1" s="651"/>
      <c r="L1" s="651"/>
      <c r="M1" s="439"/>
      <c r="S1" s="67"/>
      <c r="V1" s="717"/>
      <c r="W1" s="717"/>
      <c r="X1" s="717"/>
      <c r="Y1" s="717"/>
    </row>
    <row r="2" spans="1:26" s="74" customFormat="1" ht="20.399999999999999">
      <c r="A2" s="653"/>
      <c r="D2" s="66"/>
      <c r="H2" s="652" t="s">
        <v>176</v>
      </c>
      <c r="I2" s="652"/>
      <c r="J2" s="652"/>
      <c r="K2" s="652"/>
      <c r="L2" s="652"/>
      <c r="M2" s="439"/>
      <c r="S2" s="67"/>
      <c r="V2" s="718"/>
      <c r="W2" s="718"/>
      <c r="X2" s="718"/>
      <c r="Y2" s="718"/>
      <c r="Z2" s="436"/>
    </row>
    <row r="3" spans="1:26" s="74" customFormat="1" ht="20.399999999999999">
      <c r="A3" s="653"/>
      <c r="D3" s="66"/>
      <c r="H3" s="652" t="s">
        <v>177</v>
      </c>
      <c r="I3" s="652"/>
      <c r="J3" s="652"/>
      <c r="K3" s="652"/>
      <c r="L3" s="652"/>
      <c r="M3" s="439"/>
      <c r="S3" s="67"/>
      <c r="V3" s="718"/>
      <c r="W3" s="718"/>
      <c r="X3" s="718"/>
      <c r="Y3" s="718"/>
      <c r="Z3" s="437"/>
    </row>
    <row r="4" spans="1:26" s="74" customFormat="1" ht="20.399999999999999">
      <c r="A4" s="653"/>
      <c r="D4" s="66"/>
      <c r="H4" s="652" t="s">
        <v>178</v>
      </c>
      <c r="I4" s="652"/>
      <c r="J4" s="652"/>
      <c r="K4" s="652"/>
      <c r="L4" s="652"/>
      <c r="M4" s="439"/>
      <c r="S4" s="67"/>
      <c r="V4" s="718"/>
      <c r="W4" s="718"/>
      <c r="X4" s="718"/>
      <c r="Y4" s="718"/>
      <c r="Z4" s="437"/>
    </row>
    <row r="5" spans="1:26" s="74" customFormat="1" ht="28.5" customHeight="1">
      <c r="A5" s="653"/>
      <c r="B5" s="653"/>
      <c r="C5" s="653"/>
      <c r="D5" s="653"/>
      <c r="E5" s="653"/>
      <c r="F5" s="653"/>
      <c r="G5" s="653"/>
      <c r="H5" s="653"/>
      <c r="I5" s="653"/>
      <c r="J5" s="653"/>
      <c r="K5" s="437"/>
      <c r="S5" s="67"/>
      <c r="W5" s="437"/>
      <c r="X5" s="437"/>
      <c r="Y5" s="437"/>
      <c r="Z5" s="437"/>
    </row>
    <row r="6" spans="1:26" ht="38.25" customHeight="1" thickBot="1">
      <c r="A6" s="640" t="s">
        <v>174</v>
      </c>
      <c r="B6" s="640"/>
      <c r="C6" s="640"/>
      <c r="D6" s="640"/>
      <c r="E6" s="640"/>
      <c r="F6" s="640"/>
      <c r="G6" s="640"/>
      <c r="H6" s="640"/>
      <c r="I6" s="640"/>
      <c r="J6" s="640"/>
      <c r="K6" s="640"/>
    </row>
    <row r="7" spans="1:26" ht="62.25" customHeight="1" thickBot="1">
      <c r="A7" s="75" t="s">
        <v>0</v>
      </c>
      <c r="B7" s="540" t="s">
        <v>5</v>
      </c>
      <c r="C7" s="541"/>
      <c r="D7" s="542"/>
      <c r="E7" s="76" t="s">
        <v>7</v>
      </c>
      <c r="F7" s="76" t="s">
        <v>16</v>
      </c>
      <c r="G7" s="76" t="s">
        <v>32</v>
      </c>
      <c r="H7" s="77" t="s">
        <v>8</v>
      </c>
      <c r="I7" s="76" t="s">
        <v>25</v>
      </c>
      <c r="J7" s="78" t="s">
        <v>33</v>
      </c>
      <c r="K7" s="76" t="s">
        <v>179</v>
      </c>
      <c r="L7" s="74">
        <v>1.05</v>
      </c>
      <c r="M7" s="76" t="s">
        <v>119</v>
      </c>
      <c r="N7" s="76" t="s">
        <v>120</v>
      </c>
      <c r="O7" s="6" t="s">
        <v>114</v>
      </c>
      <c r="P7" s="6" t="s">
        <v>115</v>
      </c>
      <c r="Q7" s="6" t="s">
        <v>116</v>
      </c>
      <c r="T7" s="862"/>
    </row>
    <row r="8" spans="1:26" s="74" customFormat="1" ht="16.2" thickBot="1">
      <c r="A8" s="535" t="s">
        <v>215</v>
      </c>
      <c r="B8" s="536"/>
      <c r="C8" s="536"/>
      <c r="D8" s="536"/>
      <c r="E8" s="536"/>
      <c r="F8" s="536"/>
      <c r="G8" s="536"/>
      <c r="H8" s="536"/>
      <c r="I8" s="536"/>
      <c r="J8" s="536"/>
      <c r="K8" s="536"/>
      <c r="L8" s="134"/>
      <c r="M8" s="135">
        <v>0</v>
      </c>
      <c r="N8" s="54"/>
      <c r="O8" s="88" t="e">
        <v>#DIV/0!</v>
      </c>
      <c r="P8" s="89" t="e">
        <v>#DIV/0!</v>
      </c>
      <c r="Q8" s="87" t="e">
        <v>#DIV/0!</v>
      </c>
      <c r="S8" s="139"/>
      <c r="T8" s="862"/>
    </row>
    <row r="9" spans="1:26" s="7" customFormat="1" ht="15.75" customHeight="1" thickBot="1">
      <c r="A9" s="513" t="s">
        <v>182</v>
      </c>
      <c r="B9" s="514"/>
      <c r="C9" s="514"/>
      <c r="D9" s="514"/>
      <c r="E9" s="514"/>
      <c r="F9" s="514"/>
      <c r="G9" s="514"/>
      <c r="H9" s="514"/>
      <c r="I9" s="514"/>
      <c r="J9" s="514"/>
      <c r="K9" s="514"/>
      <c r="N9" s="8"/>
      <c r="S9" s="68"/>
      <c r="T9" s="863"/>
    </row>
    <row r="10" spans="1:26" ht="60" customHeight="1" thickBot="1">
      <c r="A10" s="149">
        <v>1</v>
      </c>
      <c r="B10" s="399"/>
      <c r="C10" s="81" t="s">
        <v>83</v>
      </c>
      <c r="D10" s="82" t="s">
        <v>78</v>
      </c>
      <c r="E10" s="83" t="s">
        <v>11</v>
      </c>
      <c r="F10" s="321">
        <v>70</v>
      </c>
      <c r="G10" s="129">
        <v>9.42</v>
      </c>
      <c r="H10" s="110">
        <v>1499</v>
      </c>
      <c r="I10" s="191">
        <v>13</v>
      </c>
      <c r="J10" s="84">
        <f>K10*1.3</f>
        <v>2587</v>
      </c>
      <c r="K10" s="85">
        <v>1990</v>
      </c>
      <c r="L10" s="134"/>
      <c r="M10" s="135">
        <v>873.73</v>
      </c>
      <c r="N10" s="645">
        <v>1001</v>
      </c>
      <c r="O10" s="10">
        <v>0.2</v>
      </c>
      <c r="P10" s="11">
        <v>0.1</v>
      </c>
      <c r="Q10" s="9">
        <v>3.9960039960039939E-2</v>
      </c>
      <c r="S10" s="69">
        <f>1048*1.1</f>
        <v>1152.8000000000002</v>
      </c>
      <c r="T10" s="862"/>
    </row>
    <row r="11" spans="1:26" ht="15" customHeight="1" thickBot="1">
      <c r="A11" s="668" t="s">
        <v>180</v>
      </c>
      <c r="B11" s="626"/>
      <c r="C11" s="626"/>
      <c r="D11" s="626"/>
      <c r="E11" s="626"/>
      <c r="F11" s="626"/>
      <c r="G11" s="626"/>
      <c r="H11" s="626"/>
      <c r="I11" s="626"/>
      <c r="J11" s="626"/>
      <c r="K11" s="626"/>
      <c r="L11" s="134"/>
      <c r="M11" s="135">
        <v>0</v>
      </c>
      <c r="S11" s="69"/>
      <c r="T11" s="862"/>
    </row>
    <row r="12" spans="1:26" ht="60.75" customHeight="1" thickBot="1">
      <c r="A12" s="552">
        <v>2</v>
      </c>
      <c r="B12" s="397"/>
      <c r="C12" s="673" t="s">
        <v>6</v>
      </c>
      <c r="D12" s="100"/>
      <c r="E12" s="669" t="s">
        <v>24</v>
      </c>
      <c r="F12" s="515">
        <v>60</v>
      </c>
      <c r="G12" s="548">
        <v>13.39</v>
      </c>
      <c r="H12" s="531">
        <v>1734</v>
      </c>
      <c r="I12" s="112">
        <v>11</v>
      </c>
      <c r="J12" s="171">
        <f>K12*1.1</f>
        <v>1687.4</v>
      </c>
      <c r="K12" s="172">
        <v>1534</v>
      </c>
      <c r="L12" s="134"/>
      <c r="M12" s="135">
        <v>591.53</v>
      </c>
      <c r="N12" s="12">
        <v>665</v>
      </c>
      <c r="O12" s="10">
        <v>0.1</v>
      </c>
      <c r="P12" s="11">
        <v>0.05</v>
      </c>
      <c r="Q12" s="9">
        <v>0.02</v>
      </c>
      <c r="S12" s="69">
        <f>710*1.1</f>
        <v>781.00000000000011</v>
      </c>
      <c r="T12" s="862"/>
    </row>
    <row r="13" spans="1:26" ht="58.5" customHeight="1" thickBot="1">
      <c r="A13" s="555"/>
      <c r="B13" s="398"/>
      <c r="C13" s="674" t="s">
        <v>85</v>
      </c>
      <c r="D13" s="105" t="s">
        <v>78</v>
      </c>
      <c r="E13" s="670"/>
      <c r="F13" s="504">
        <v>60</v>
      </c>
      <c r="G13" s="562">
        <v>13.39</v>
      </c>
      <c r="H13" s="534">
        <v>1734</v>
      </c>
      <c r="I13" s="148">
        <v>11</v>
      </c>
      <c r="J13" s="177">
        <f>K13*1.3</f>
        <v>2319.2000000000003</v>
      </c>
      <c r="K13" s="4">
        <v>1784</v>
      </c>
      <c r="L13" s="134"/>
      <c r="M13" s="135">
        <v>782.2</v>
      </c>
      <c r="N13" s="12">
        <v>896</v>
      </c>
      <c r="O13" s="10">
        <v>0.3</v>
      </c>
      <c r="P13" s="11">
        <v>0.1</v>
      </c>
      <c r="Q13" s="9">
        <v>0.04</v>
      </c>
      <c r="S13" s="69">
        <f>939*1.1</f>
        <v>1032.9000000000001</v>
      </c>
      <c r="T13" s="862"/>
    </row>
    <row r="14" spans="1:26" ht="15" customHeight="1" thickBot="1">
      <c r="A14" s="513" t="s">
        <v>181</v>
      </c>
      <c r="B14" s="514"/>
      <c r="C14" s="514"/>
      <c r="D14" s="514"/>
      <c r="E14" s="514"/>
      <c r="F14" s="514"/>
      <c r="G14" s="514"/>
      <c r="H14" s="514"/>
      <c r="I14" s="514"/>
      <c r="J14" s="514"/>
      <c r="K14" s="514"/>
      <c r="L14" s="134"/>
      <c r="M14" s="135">
        <v>0</v>
      </c>
      <c r="O14" s="5" t="e">
        <v>#DIV/0!</v>
      </c>
      <c r="P14" s="5" t="e">
        <v>#DIV/0!</v>
      </c>
      <c r="Q14" s="5" t="e">
        <v>#DIV/0!</v>
      </c>
      <c r="S14" s="69"/>
      <c r="T14" s="862"/>
    </row>
    <row r="15" spans="1:26" ht="57" customHeight="1" thickBot="1">
      <c r="A15" s="537">
        <v>3</v>
      </c>
      <c r="B15" s="460"/>
      <c r="C15" s="508" t="s">
        <v>162</v>
      </c>
      <c r="D15" s="95" t="s">
        <v>78</v>
      </c>
      <c r="E15" s="490" t="s">
        <v>65</v>
      </c>
      <c r="F15" s="515">
        <v>60</v>
      </c>
      <c r="G15" s="656">
        <v>13.44</v>
      </c>
      <c r="H15" s="543">
        <v>1880</v>
      </c>
      <c r="I15" s="558">
        <v>10</v>
      </c>
      <c r="J15" s="646">
        <f>K15*1.1</f>
        <v>1285.9000000000001</v>
      </c>
      <c r="K15" s="646">
        <v>1169</v>
      </c>
      <c r="L15" s="134"/>
      <c r="M15" s="135">
        <v>450.85</v>
      </c>
      <c r="N15" s="650">
        <v>507</v>
      </c>
      <c r="O15" s="10">
        <v>0.1</v>
      </c>
      <c r="P15" s="11">
        <v>0.03</v>
      </c>
      <c r="Q15" s="9">
        <v>0.02</v>
      </c>
      <c r="S15" s="69">
        <f>541*1.1</f>
        <v>595.1</v>
      </c>
    </row>
    <row r="16" spans="1:26" ht="57" customHeight="1">
      <c r="A16" s="538"/>
      <c r="B16" s="391"/>
      <c r="C16" s="190" t="s">
        <v>164</v>
      </c>
      <c r="D16" s="96" t="s">
        <v>78</v>
      </c>
      <c r="E16" s="491"/>
      <c r="F16" s="503"/>
      <c r="G16" s="657"/>
      <c r="H16" s="544"/>
      <c r="I16" s="559"/>
      <c r="J16" s="648">
        <f>K16*1.15</f>
        <v>1505.35</v>
      </c>
      <c r="K16" s="646">
        <v>1309</v>
      </c>
      <c r="L16" s="134"/>
      <c r="M16" s="659"/>
      <c r="N16" s="649"/>
      <c r="O16" s="10" t="e">
        <v>#DIV/0!</v>
      </c>
      <c r="P16" s="11" t="e">
        <v>#DIV/0!</v>
      </c>
      <c r="Q16" s="9" t="e">
        <v>#DIV/0!</v>
      </c>
      <c r="S16" s="69"/>
    </row>
    <row r="17" spans="1:20" ht="57" customHeight="1">
      <c r="A17" s="538"/>
      <c r="B17" s="394"/>
      <c r="C17" s="190" t="s">
        <v>158</v>
      </c>
      <c r="D17" s="96" t="s">
        <v>78</v>
      </c>
      <c r="E17" s="491"/>
      <c r="F17" s="503"/>
      <c r="G17" s="657"/>
      <c r="H17" s="544"/>
      <c r="I17" s="559"/>
      <c r="J17" s="649"/>
      <c r="K17" s="644"/>
      <c r="L17" s="134"/>
      <c r="M17" s="659"/>
      <c r="N17" s="649"/>
      <c r="O17" s="10" t="e">
        <v>#DIV/0!</v>
      </c>
      <c r="P17" s="11" t="e">
        <v>#DIV/0!</v>
      </c>
      <c r="Q17" s="9" t="e">
        <v>#DIV/0!</v>
      </c>
      <c r="S17" s="69"/>
    </row>
    <row r="18" spans="1:20" ht="57" customHeight="1" thickBot="1">
      <c r="A18" s="538"/>
      <c r="B18" s="396"/>
      <c r="C18" s="190" t="s">
        <v>159</v>
      </c>
      <c r="D18" s="96" t="s">
        <v>78</v>
      </c>
      <c r="E18" s="491"/>
      <c r="F18" s="503"/>
      <c r="G18" s="657"/>
      <c r="H18" s="544"/>
      <c r="I18" s="559"/>
      <c r="J18" s="649"/>
      <c r="K18" s="644"/>
      <c r="L18" s="134"/>
      <c r="M18" s="659"/>
      <c r="N18" s="650"/>
      <c r="O18" s="10" t="e">
        <v>#DIV/0!</v>
      </c>
      <c r="P18" s="11" t="e">
        <v>#DIV/0!</v>
      </c>
      <c r="Q18" s="9" t="e">
        <v>#DIV/0!</v>
      </c>
      <c r="S18" s="69"/>
    </row>
    <row r="19" spans="1:20" s="74" customFormat="1" ht="57" customHeight="1" thickBot="1">
      <c r="A19" s="538"/>
      <c r="B19" s="481"/>
      <c r="C19" s="188" t="s">
        <v>163</v>
      </c>
      <c r="D19" s="96" t="s">
        <v>78</v>
      </c>
      <c r="E19" s="491"/>
      <c r="F19" s="503"/>
      <c r="G19" s="657"/>
      <c r="H19" s="544"/>
      <c r="I19" s="559"/>
      <c r="J19" s="649"/>
      <c r="K19" s="644"/>
      <c r="L19" s="134"/>
      <c r="M19" s="374"/>
      <c r="N19" s="650"/>
      <c r="O19" s="88"/>
      <c r="P19" s="89"/>
      <c r="Q19" s="87"/>
      <c r="S19" s="139"/>
    </row>
    <row r="20" spans="1:20" s="74" customFormat="1" ht="57" customHeight="1" thickBot="1">
      <c r="A20" s="538"/>
      <c r="B20" s="481"/>
      <c r="C20" s="190" t="s">
        <v>165</v>
      </c>
      <c r="D20" s="96" t="s">
        <v>78</v>
      </c>
      <c r="E20" s="660"/>
      <c r="F20" s="503"/>
      <c r="G20" s="662"/>
      <c r="H20" s="663"/>
      <c r="I20" s="664"/>
      <c r="J20" s="649"/>
      <c r="K20" s="644"/>
      <c r="L20" s="134"/>
      <c r="M20" s="374"/>
      <c r="N20" s="650"/>
      <c r="O20" s="88"/>
      <c r="P20" s="89"/>
      <c r="Q20" s="87"/>
      <c r="S20" s="139"/>
    </row>
    <row r="21" spans="1:20" s="74" customFormat="1" ht="57" customHeight="1" thickBot="1">
      <c r="A21" s="538"/>
      <c r="B21" s="481"/>
      <c r="C21" s="190" t="s">
        <v>169</v>
      </c>
      <c r="D21" s="96"/>
      <c r="E21" s="661" t="s">
        <v>168</v>
      </c>
      <c r="F21" s="503"/>
      <c r="G21" s="665">
        <v>11.4</v>
      </c>
      <c r="H21" s="666">
        <v>1606</v>
      </c>
      <c r="I21" s="667">
        <v>12</v>
      </c>
      <c r="J21" s="649"/>
      <c r="K21" s="644"/>
      <c r="L21" s="134"/>
      <c r="M21" s="374"/>
      <c r="N21" s="650"/>
      <c r="O21" s="88"/>
      <c r="P21" s="89"/>
      <c r="Q21" s="87"/>
      <c r="S21" s="139"/>
    </row>
    <row r="22" spans="1:20" s="74" customFormat="1" ht="57" customHeight="1" thickBot="1">
      <c r="A22" s="538"/>
      <c r="B22" s="481"/>
      <c r="C22" s="190" t="s">
        <v>170</v>
      </c>
      <c r="D22" s="260"/>
      <c r="E22" s="491"/>
      <c r="F22" s="503"/>
      <c r="G22" s="657"/>
      <c r="H22" s="544"/>
      <c r="I22" s="559"/>
      <c r="J22" s="649"/>
      <c r="K22" s="644"/>
      <c r="L22" s="134"/>
      <c r="M22" s="374"/>
      <c r="N22" s="650"/>
      <c r="O22" s="88"/>
      <c r="P22" s="89"/>
      <c r="Q22" s="87"/>
      <c r="S22" s="139"/>
    </row>
    <row r="23" spans="1:20" s="74" customFormat="1" ht="57" customHeight="1" thickBot="1">
      <c r="A23" s="538"/>
      <c r="B23" s="190"/>
      <c r="C23" s="190" t="s">
        <v>171</v>
      </c>
      <c r="D23" s="260"/>
      <c r="E23" s="491"/>
      <c r="F23" s="503"/>
      <c r="G23" s="657"/>
      <c r="H23" s="544"/>
      <c r="I23" s="559"/>
      <c r="J23" s="649"/>
      <c r="K23" s="644"/>
      <c r="L23" s="134"/>
      <c r="M23" s="374"/>
      <c r="N23" s="650"/>
      <c r="O23" s="88"/>
      <c r="P23" s="89"/>
      <c r="Q23" s="87"/>
      <c r="S23" s="139"/>
    </row>
    <row r="24" spans="1:20" ht="57" customHeight="1" thickBot="1">
      <c r="A24" s="538"/>
      <c r="B24" s="266"/>
      <c r="C24" s="466" t="s">
        <v>172</v>
      </c>
      <c r="D24" s="153"/>
      <c r="E24" s="491"/>
      <c r="F24" s="503"/>
      <c r="G24" s="657"/>
      <c r="H24" s="544"/>
      <c r="I24" s="559"/>
      <c r="J24" s="650"/>
      <c r="K24" s="645"/>
      <c r="L24" s="134"/>
      <c r="M24" s="135">
        <v>726.27</v>
      </c>
      <c r="N24" s="13">
        <v>816</v>
      </c>
      <c r="O24" s="10">
        <v>0.15</v>
      </c>
      <c r="P24" s="11">
        <v>0.05</v>
      </c>
      <c r="Q24" s="9">
        <v>0.03</v>
      </c>
      <c r="S24" s="69">
        <f>872*1.1</f>
        <v>959.2</v>
      </c>
    </row>
    <row r="25" spans="1:20" ht="57" customHeight="1">
      <c r="A25" s="538"/>
      <c r="B25" s="403"/>
      <c r="C25" s="265" t="s">
        <v>160</v>
      </c>
      <c r="D25" s="100" t="s">
        <v>78</v>
      </c>
      <c r="E25" s="491"/>
      <c r="F25" s="503"/>
      <c r="G25" s="657"/>
      <c r="H25" s="544"/>
      <c r="I25" s="559"/>
      <c r="J25" s="648">
        <f>K25*1.3</f>
        <v>2386.8000000000002</v>
      </c>
      <c r="K25" s="646">
        <v>1836</v>
      </c>
      <c r="L25" s="134"/>
      <c r="M25" s="659">
        <v>805.08</v>
      </c>
      <c r="N25" s="648">
        <v>922</v>
      </c>
      <c r="O25" s="10">
        <v>0.3</v>
      </c>
      <c r="P25" s="11">
        <v>0.1</v>
      </c>
      <c r="Q25" s="9">
        <v>0.04</v>
      </c>
      <c r="S25" s="69">
        <f>967*1.1</f>
        <v>1063.7</v>
      </c>
    </row>
    <row r="26" spans="1:20" ht="57" customHeight="1">
      <c r="A26" s="538"/>
      <c r="B26" s="401"/>
      <c r="C26" s="190" t="s">
        <v>161</v>
      </c>
      <c r="D26" s="98" t="s">
        <v>78</v>
      </c>
      <c r="E26" s="491"/>
      <c r="F26" s="503"/>
      <c r="G26" s="657"/>
      <c r="H26" s="544"/>
      <c r="I26" s="559"/>
      <c r="J26" s="649"/>
      <c r="K26" s="644"/>
      <c r="L26" s="134"/>
      <c r="M26" s="659"/>
      <c r="N26" s="649"/>
      <c r="O26" s="10" t="e">
        <v>#DIV/0!</v>
      </c>
      <c r="P26" s="11" t="e">
        <v>#DIV/0!</v>
      </c>
      <c r="Q26" s="9" t="e">
        <v>#DIV/0!</v>
      </c>
      <c r="S26" s="69"/>
    </row>
    <row r="27" spans="1:20" ht="57" customHeight="1" thickBot="1">
      <c r="A27" s="539"/>
      <c r="B27" s="405"/>
      <c r="C27" s="262" t="s">
        <v>87</v>
      </c>
      <c r="D27" s="105"/>
      <c r="E27" s="492"/>
      <c r="F27" s="504"/>
      <c r="G27" s="658"/>
      <c r="H27" s="545"/>
      <c r="I27" s="560"/>
      <c r="J27" s="650"/>
      <c r="K27" s="645"/>
      <c r="L27" s="134"/>
      <c r="M27" s="659"/>
      <c r="N27" s="650"/>
      <c r="O27" s="10" t="e">
        <v>#DIV/0!</v>
      </c>
      <c r="P27" s="11" t="e">
        <v>#DIV/0!</v>
      </c>
      <c r="Q27" s="9" t="e">
        <v>#DIV/0!</v>
      </c>
      <c r="S27" s="69"/>
    </row>
    <row r="28" spans="1:20" s="74" customFormat="1" ht="25.2" customHeight="1" thickBot="1">
      <c r="A28" s="603" t="s">
        <v>183</v>
      </c>
      <c r="B28" s="604"/>
      <c r="C28" s="604"/>
      <c r="D28" s="604"/>
      <c r="E28" s="604"/>
      <c r="F28" s="604"/>
      <c r="G28" s="604"/>
      <c r="H28" s="604"/>
      <c r="I28" s="604"/>
      <c r="J28" s="604"/>
      <c r="K28" s="604"/>
      <c r="L28" s="134"/>
      <c r="M28" s="374"/>
      <c r="N28" s="461"/>
      <c r="O28" s="88"/>
      <c r="P28" s="89"/>
      <c r="Q28" s="87"/>
      <c r="S28" s="139"/>
    </row>
    <row r="29" spans="1:20" s="74" customFormat="1" ht="57" customHeight="1" thickBot="1">
      <c r="A29" s="598">
        <v>5</v>
      </c>
      <c r="B29" s="462"/>
      <c r="C29" s="508" t="s">
        <v>50</v>
      </c>
      <c r="D29" s="100"/>
      <c r="E29" s="490" t="s">
        <v>156</v>
      </c>
      <c r="F29" s="528">
        <v>40</v>
      </c>
      <c r="G29" s="656">
        <v>19</v>
      </c>
      <c r="H29" s="543">
        <v>1704</v>
      </c>
      <c r="I29" s="558">
        <v>11</v>
      </c>
      <c r="J29" s="461">
        <f>ROUND(K29*1.15,2)</f>
        <v>1245.45</v>
      </c>
      <c r="K29" s="85">
        <v>1083</v>
      </c>
      <c r="L29" s="134"/>
      <c r="M29" s="374"/>
      <c r="N29" s="461"/>
      <c r="O29" s="88"/>
      <c r="P29" s="89"/>
      <c r="Q29" s="87"/>
      <c r="S29" s="139"/>
      <c r="T29" s="862"/>
    </row>
    <row r="30" spans="1:20" s="74" customFormat="1" ht="57" customHeight="1" thickBot="1">
      <c r="A30" s="599"/>
      <c r="B30" s="463"/>
      <c r="C30" s="509" t="s">
        <v>38</v>
      </c>
      <c r="D30" s="98" t="s">
        <v>78</v>
      </c>
      <c r="E30" s="491"/>
      <c r="F30" s="529"/>
      <c r="G30" s="657"/>
      <c r="H30" s="544"/>
      <c r="I30" s="559"/>
      <c r="J30" s="461">
        <f>ROUND(K30*1.15,2)</f>
        <v>1245.45</v>
      </c>
      <c r="K30" s="85">
        <v>1083</v>
      </c>
      <c r="L30" s="134"/>
      <c r="M30" s="374"/>
      <c r="N30" s="461"/>
      <c r="O30" s="88"/>
      <c r="P30" s="89"/>
      <c r="Q30" s="87"/>
      <c r="S30" s="139"/>
      <c r="T30" s="862"/>
    </row>
    <row r="31" spans="1:20" s="74" customFormat="1" ht="57" customHeight="1" thickBot="1">
      <c r="A31" s="599"/>
      <c r="B31" s="463"/>
      <c r="C31" s="509" t="s">
        <v>44</v>
      </c>
      <c r="D31" s="98" t="s">
        <v>78</v>
      </c>
      <c r="E31" s="491"/>
      <c r="F31" s="529"/>
      <c r="G31" s="657"/>
      <c r="H31" s="544"/>
      <c r="I31" s="559"/>
      <c r="J31" s="461">
        <f>ROUND(K31*1.15,2)</f>
        <v>1245.45</v>
      </c>
      <c r="K31" s="85">
        <v>1083</v>
      </c>
      <c r="L31" s="134"/>
      <c r="M31" s="374"/>
      <c r="N31" s="461"/>
      <c r="O31" s="88"/>
      <c r="P31" s="89"/>
      <c r="Q31" s="87"/>
      <c r="S31" s="139"/>
      <c r="T31" s="862"/>
    </row>
    <row r="32" spans="1:20" s="74" customFormat="1" ht="57" customHeight="1" thickBot="1">
      <c r="A32" s="600"/>
      <c r="B32" s="463"/>
      <c r="C32" s="510" t="s">
        <v>86</v>
      </c>
      <c r="D32" s="105" t="s">
        <v>78</v>
      </c>
      <c r="E32" s="492"/>
      <c r="F32" s="530"/>
      <c r="G32" s="658"/>
      <c r="H32" s="545"/>
      <c r="I32" s="560"/>
      <c r="J32" s="461">
        <f>ROUND(K32*1.3,2)</f>
        <v>1891.5</v>
      </c>
      <c r="K32" s="645">
        <v>1455</v>
      </c>
      <c r="L32" s="134"/>
      <c r="M32" s="374"/>
      <c r="N32" s="461"/>
      <c r="O32" s="88"/>
      <c r="P32" s="89"/>
      <c r="Q32" s="87"/>
      <c r="S32" s="139"/>
      <c r="T32" s="862"/>
    </row>
    <row r="33" spans="1:20" ht="15" customHeight="1" thickBot="1">
      <c r="A33" s="513" t="s">
        <v>184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134"/>
      <c r="M33" s="135">
        <v>0</v>
      </c>
      <c r="N33" s="14"/>
      <c r="O33" s="10" t="e">
        <v>#DIV/0!</v>
      </c>
      <c r="P33" s="11" t="e">
        <v>#DIV/0!</v>
      </c>
      <c r="Q33" s="9" t="e">
        <v>#DIV/0!</v>
      </c>
      <c r="S33" s="69"/>
      <c r="T33" s="862"/>
    </row>
    <row r="34" spans="1:20" s="74" customFormat="1" ht="56.25" customHeight="1" thickBot="1">
      <c r="A34" s="537">
        <v>5</v>
      </c>
      <c r="B34" s="406"/>
      <c r="C34" s="310" t="s">
        <v>6</v>
      </c>
      <c r="D34" s="671"/>
      <c r="E34" s="490" t="s">
        <v>153</v>
      </c>
      <c r="F34" s="528">
        <v>60</v>
      </c>
      <c r="G34" s="317">
        <v>11.29</v>
      </c>
      <c r="H34" s="314">
        <v>1606</v>
      </c>
      <c r="I34" s="315">
        <v>12</v>
      </c>
      <c r="J34" s="84">
        <f>K34*1.15</f>
        <v>1493.85</v>
      </c>
      <c r="K34" s="85">
        <v>1299</v>
      </c>
      <c r="L34" s="134"/>
      <c r="M34" s="135"/>
      <c r="N34" s="19"/>
      <c r="O34" s="88"/>
      <c r="P34" s="89"/>
      <c r="Q34" s="87"/>
      <c r="S34" s="139"/>
      <c r="T34" s="862"/>
    </row>
    <row r="35" spans="1:20" ht="60" customHeight="1" thickBot="1">
      <c r="A35" s="538"/>
      <c r="B35" s="408"/>
      <c r="C35" s="673" t="s">
        <v>68</v>
      </c>
      <c r="D35" s="100" t="s">
        <v>78</v>
      </c>
      <c r="E35" s="654"/>
      <c r="F35" s="529"/>
      <c r="G35" s="318">
        <v>11.29</v>
      </c>
      <c r="H35" s="198">
        <v>1606</v>
      </c>
      <c r="I35" s="199">
        <v>12</v>
      </c>
      <c r="J35" s="154">
        <f>K35*1.3</f>
        <v>2587</v>
      </c>
      <c r="K35" s="646">
        <v>1990</v>
      </c>
      <c r="L35" s="134"/>
      <c r="M35" s="135">
        <v>873.73</v>
      </c>
      <c r="N35" s="15">
        <v>1001</v>
      </c>
      <c r="O35" s="10">
        <v>0.3</v>
      </c>
      <c r="P35" s="11">
        <v>0.1</v>
      </c>
      <c r="Q35" s="9">
        <v>3.9960039960039939E-2</v>
      </c>
      <c r="S35" s="69">
        <f>1048*1.1</f>
        <v>1152.8000000000002</v>
      </c>
      <c r="T35" s="862"/>
    </row>
    <row r="36" spans="1:20" ht="60" customHeight="1" thickBot="1">
      <c r="A36" s="538"/>
      <c r="B36" s="266"/>
      <c r="C36" s="464" t="s">
        <v>83</v>
      </c>
      <c r="D36" s="98" t="s">
        <v>78</v>
      </c>
      <c r="E36" s="654"/>
      <c r="F36" s="529"/>
      <c r="G36" s="131">
        <v>11.29</v>
      </c>
      <c r="H36" s="103">
        <v>1606</v>
      </c>
      <c r="I36" s="104">
        <v>12</v>
      </c>
      <c r="J36" s="84">
        <f>K36*1.3</f>
        <v>2587</v>
      </c>
      <c r="K36" s="646">
        <v>1990</v>
      </c>
      <c r="L36" s="134"/>
      <c r="M36" s="135">
        <v>873.73</v>
      </c>
      <c r="N36" s="15">
        <v>1001</v>
      </c>
      <c r="O36" s="10">
        <v>0.3</v>
      </c>
      <c r="P36" s="11">
        <v>0.1</v>
      </c>
      <c r="Q36" s="9">
        <v>3.9960039960039939E-2</v>
      </c>
      <c r="S36" s="69"/>
      <c r="T36" s="862"/>
    </row>
    <row r="37" spans="1:20" ht="60" customHeight="1" thickBot="1">
      <c r="A37" s="538"/>
      <c r="B37" s="502"/>
      <c r="C37" s="464" t="s">
        <v>84</v>
      </c>
      <c r="D37" s="98"/>
      <c r="E37" s="654"/>
      <c r="F37" s="529"/>
      <c r="G37" s="131">
        <v>11.29</v>
      </c>
      <c r="H37" s="103">
        <v>1606</v>
      </c>
      <c r="I37" s="104">
        <v>12</v>
      </c>
      <c r="J37" s="264">
        <f>K37*1.3</f>
        <v>2587</v>
      </c>
      <c r="K37" s="646">
        <v>1990</v>
      </c>
      <c r="L37" s="134"/>
      <c r="M37" s="135">
        <v>873.73</v>
      </c>
      <c r="N37" s="15">
        <v>1001</v>
      </c>
      <c r="O37" s="10">
        <v>0.3</v>
      </c>
      <c r="P37" s="11">
        <v>0.1</v>
      </c>
      <c r="Q37" s="9">
        <v>3.9960039960039939E-2</v>
      </c>
      <c r="S37" s="69"/>
      <c r="T37" s="862"/>
    </row>
    <row r="38" spans="1:20" ht="60" customHeight="1" thickBot="1">
      <c r="A38" s="539"/>
      <c r="B38" s="407"/>
      <c r="C38" s="674" t="s">
        <v>70</v>
      </c>
      <c r="D38" s="105" t="s">
        <v>78</v>
      </c>
      <c r="E38" s="655"/>
      <c r="F38" s="530"/>
      <c r="G38" s="132">
        <v>11.29</v>
      </c>
      <c r="H38" s="106">
        <v>1606</v>
      </c>
      <c r="I38" s="107">
        <v>12</v>
      </c>
      <c r="J38" s="84">
        <f>K38*1.3</f>
        <v>2587</v>
      </c>
      <c r="K38" s="646">
        <v>1990</v>
      </c>
      <c r="L38" s="134"/>
      <c r="M38" s="135">
        <v>873.73</v>
      </c>
      <c r="N38" s="15">
        <v>1001</v>
      </c>
      <c r="O38" s="10">
        <v>0.3</v>
      </c>
      <c r="P38" s="11">
        <v>0.1</v>
      </c>
      <c r="Q38" s="9">
        <v>3.9960039960039939E-2</v>
      </c>
      <c r="S38" s="69"/>
      <c r="T38" s="862"/>
    </row>
    <row r="39" spans="1:20" ht="15" customHeight="1" thickBot="1">
      <c r="A39" s="513" t="s">
        <v>185</v>
      </c>
      <c r="B39" s="514"/>
      <c r="C39" s="514"/>
      <c r="D39" s="584"/>
      <c r="E39" s="514"/>
      <c r="F39" s="514"/>
      <c r="G39" s="514"/>
      <c r="H39" s="514"/>
      <c r="I39" s="514"/>
      <c r="J39" s="514"/>
      <c r="K39" s="514"/>
      <c r="L39" s="134"/>
      <c r="M39" s="135">
        <v>0</v>
      </c>
      <c r="N39" s="17"/>
      <c r="O39" s="10" t="e">
        <v>#DIV/0!</v>
      </c>
      <c r="P39" s="11" t="e">
        <v>#DIV/0!</v>
      </c>
      <c r="Q39" s="9" t="e">
        <v>#DIV/0!</v>
      </c>
      <c r="S39" s="69"/>
      <c r="T39" s="862"/>
    </row>
    <row r="40" spans="1:20" ht="57" customHeight="1" thickBot="1">
      <c r="A40" s="552">
        <v>6</v>
      </c>
      <c r="B40" s="411"/>
      <c r="C40" s="311" t="s">
        <v>6</v>
      </c>
      <c r="D40" s="82"/>
      <c r="E40" s="490" t="s">
        <v>67</v>
      </c>
      <c r="F40" s="515">
        <v>60</v>
      </c>
      <c r="G40" s="331">
        <v>11.52</v>
      </c>
      <c r="H40" s="314">
        <v>1635</v>
      </c>
      <c r="I40" s="315">
        <v>12</v>
      </c>
      <c r="J40" s="84">
        <f>K40*1.15</f>
        <v>1493.85</v>
      </c>
      <c r="K40" s="85">
        <v>1299</v>
      </c>
      <c r="L40" s="134"/>
      <c r="M40" s="135">
        <v>501.69</v>
      </c>
      <c r="N40" s="18">
        <v>564</v>
      </c>
      <c r="O40" s="10">
        <v>0.15</v>
      </c>
      <c r="P40" s="11">
        <v>0.05</v>
      </c>
      <c r="Q40" s="9">
        <v>0.02</v>
      </c>
      <c r="S40" s="69">
        <f>602*1.1</f>
        <v>662.2</v>
      </c>
      <c r="T40" s="862"/>
    </row>
    <row r="41" spans="1:20" ht="57" customHeight="1" thickBot="1">
      <c r="A41" s="554"/>
      <c r="B41" s="409"/>
      <c r="C41" s="523" t="s">
        <v>69</v>
      </c>
      <c r="D41" s="192"/>
      <c r="E41" s="491"/>
      <c r="F41" s="503"/>
      <c r="G41" s="318">
        <v>11.52</v>
      </c>
      <c r="H41" s="198">
        <v>1635</v>
      </c>
      <c r="I41" s="199">
        <v>12</v>
      </c>
      <c r="J41" s="154">
        <f>K41*1.3</f>
        <v>2587</v>
      </c>
      <c r="K41" s="646">
        <v>1990</v>
      </c>
      <c r="L41" s="134"/>
      <c r="M41" s="135">
        <v>873.73</v>
      </c>
      <c r="N41" s="15">
        <v>1001</v>
      </c>
      <c r="O41" s="10">
        <v>0.3</v>
      </c>
      <c r="P41" s="11">
        <v>0.1</v>
      </c>
      <c r="Q41" s="9">
        <v>3.9960039960039939E-2</v>
      </c>
      <c r="S41" s="69">
        <f>1048*1.1</f>
        <v>1152.8000000000002</v>
      </c>
      <c r="T41" s="862"/>
    </row>
    <row r="42" spans="1:20" ht="57" customHeight="1" thickBot="1">
      <c r="A42" s="555"/>
      <c r="B42" s="410"/>
      <c r="C42" s="510" t="s">
        <v>88</v>
      </c>
      <c r="D42" s="105" t="s">
        <v>78</v>
      </c>
      <c r="E42" s="492"/>
      <c r="F42" s="504"/>
      <c r="G42" s="132">
        <v>11.52</v>
      </c>
      <c r="H42" s="106">
        <v>1635</v>
      </c>
      <c r="I42" s="107">
        <v>12</v>
      </c>
      <c r="J42" s="84">
        <f>K42*1.3</f>
        <v>2587</v>
      </c>
      <c r="K42" s="646">
        <v>1990</v>
      </c>
      <c r="L42" s="134"/>
      <c r="M42" s="135">
        <v>873.73</v>
      </c>
      <c r="N42" s="15">
        <v>1001</v>
      </c>
      <c r="O42" s="10">
        <v>0.3</v>
      </c>
      <c r="P42" s="11">
        <v>0.1</v>
      </c>
      <c r="Q42" s="9">
        <v>3.9960039960039939E-2</v>
      </c>
      <c r="S42" s="69"/>
      <c r="T42" s="862"/>
    </row>
    <row r="43" spans="1:20" ht="15" customHeight="1" thickBot="1">
      <c r="A43" s="513" t="s">
        <v>186</v>
      </c>
      <c r="B43" s="514"/>
      <c r="C43" s="514"/>
      <c r="D43" s="514"/>
      <c r="E43" s="514"/>
      <c r="F43" s="514"/>
      <c r="G43" s="514"/>
      <c r="H43" s="514"/>
      <c r="I43" s="514"/>
      <c r="J43" s="514"/>
      <c r="K43" s="514"/>
      <c r="L43" s="134"/>
      <c r="M43" s="135">
        <v>0</v>
      </c>
      <c r="N43" s="19"/>
      <c r="O43" s="10" t="e">
        <v>#DIV/0!</v>
      </c>
      <c r="P43" s="11" t="e">
        <v>#DIV/0!</v>
      </c>
      <c r="Q43" s="9" t="e">
        <v>#DIV/0!</v>
      </c>
      <c r="S43" s="69"/>
      <c r="T43" s="862"/>
    </row>
    <row r="44" spans="1:20" ht="57" customHeight="1" thickBot="1">
      <c r="A44" s="537">
        <v>7</v>
      </c>
      <c r="B44" s="412"/>
      <c r="C44" s="194" t="s">
        <v>6</v>
      </c>
      <c r="D44" s="193" t="s">
        <v>78</v>
      </c>
      <c r="E44" s="611" t="s">
        <v>60</v>
      </c>
      <c r="F44" s="621">
        <v>60</v>
      </c>
      <c r="G44" s="316">
        <v>12.96</v>
      </c>
      <c r="H44" s="312">
        <v>1850</v>
      </c>
      <c r="I44" s="313">
        <v>11</v>
      </c>
      <c r="J44" s="154">
        <f>K44*1.15</f>
        <v>1493.85</v>
      </c>
      <c r="K44" s="85">
        <v>1299</v>
      </c>
      <c r="L44" s="134"/>
      <c r="M44" s="135">
        <v>501.69</v>
      </c>
      <c r="N44" s="1">
        <v>564</v>
      </c>
      <c r="O44" s="10">
        <v>0.15</v>
      </c>
      <c r="P44" s="11">
        <v>0.05</v>
      </c>
      <c r="Q44" s="9">
        <v>0.02</v>
      </c>
      <c r="S44" s="69">
        <f>602*1.1</f>
        <v>662.2</v>
      </c>
      <c r="T44" s="862"/>
    </row>
    <row r="45" spans="1:20" ht="57" customHeight="1" thickBot="1">
      <c r="A45" s="538"/>
      <c r="B45" s="206"/>
      <c r="C45" s="194" t="s">
        <v>14</v>
      </c>
      <c r="D45" s="357"/>
      <c r="E45" s="612"/>
      <c r="F45" s="647"/>
      <c r="G45" s="316">
        <v>12.96</v>
      </c>
      <c r="H45" s="312">
        <v>1850</v>
      </c>
      <c r="I45" s="313">
        <v>11</v>
      </c>
      <c r="J45" s="154">
        <f>K45*1.15</f>
        <v>1590.4499999999998</v>
      </c>
      <c r="K45" s="646">
        <v>1383</v>
      </c>
      <c r="L45" s="134"/>
      <c r="M45" s="135"/>
      <c r="N45" s="70"/>
      <c r="O45" s="10"/>
      <c r="P45" s="11"/>
      <c r="Q45" s="9"/>
      <c r="S45" s="69"/>
      <c r="T45" s="862"/>
    </row>
    <row r="46" spans="1:20" ht="57" customHeight="1" thickBot="1">
      <c r="A46" s="538"/>
      <c r="B46" s="294"/>
      <c r="C46" s="170" t="s">
        <v>89</v>
      </c>
      <c r="D46" s="193"/>
      <c r="E46" s="612"/>
      <c r="F46" s="647"/>
      <c r="G46" s="200">
        <v>12.96</v>
      </c>
      <c r="H46" s="109">
        <v>1850</v>
      </c>
      <c r="I46" s="20">
        <v>11</v>
      </c>
      <c r="J46" s="154">
        <f>K46*1.3</f>
        <v>2587</v>
      </c>
      <c r="K46" s="646">
        <v>1990</v>
      </c>
      <c r="L46" s="134"/>
      <c r="M46" s="135">
        <v>873.73</v>
      </c>
      <c r="N46" s="3">
        <v>1001</v>
      </c>
      <c r="O46" s="10">
        <v>0.3</v>
      </c>
      <c r="P46" s="11">
        <v>0.1</v>
      </c>
      <c r="Q46" s="9">
        <v>3.9960039960039939E-2</v>
      </c>
      <c r="S46" s="69">
        <f>1048*1.1</f>
        <v>1152.8000000000002</v>
      </c>
      <c r="T46" s="862"/>
    </row>
    <row r="47" spans="1:20" ht="57" customHeight="1" thickBot="1">
      <c r="A47" s="538"/>
      <c r="B47" s="628"/>
      <c r="C47" s="71" t="s">
        <v>90</v>
      </c>
      <c r="D47" s="193" t="s">
        <v>78</v>
      </c>
      <c r="E47" s="612"/>
      <c r="F47" s="647"/>
      <c r="G47" s="202">
        <v>12.96</v>
      </c>
      <c r="H47" s="22">
        <v>1850</v>
      </c>
      <c r="I47" s="23">
        <v>11</v>
      </c>
      <c r="J47" s="84">
        <f>K47*1.3</f>
        <v>2587</v>
      </c>
      <c r="K47" s="646">
        <v>1990</v>
      </c>
      <c r="L47" s="134"/>
      <c r="M47" s="135">
        <v>873.73</v>
      </c>
      <c r="N47" s="3">
        <v>1001</v>
      </c>
      <c r="O47" s="88">
        <v>0.3</v>
      </c>
      <c r="P47" s="89">
        <v>0.1</v>
      </c>
      <c r="Q47" s="87">
        <v>3.9960039960039939E-2</v>
      </c>
      <c r="R47" s="74"/>
      <c r="S47" s="139">
        <f>1048*1.1</f>
        <v>1152.8000000000002</v>
      </c>
      <c r="T47" s="862"/>
    </row>
    <row r="48" spans="1:20" s="74" customFormat="1" ht="57" customHeight="1" thickBot="1">
      <c r="A48" s="538"/>
      <c r="B48" s="414"/>
      <c r="C48" s="71" t="s">
        <v>131</v>
      </c>
      <c r="D48" s="193" t="s">
        <v>78</v>
      </c>
      <c r="E48" s="612"/>
      <c r="F48" s="647"/>
      <c r="G48" s="202">
        <v>12.96</v>
      </c>
      <c r="H48" s="22">
        <v>1850</v>
      </c>
      <c r="I48" s="23">
        <v>11</v>
      </c>
      <c r="J48" s="84">
        <f>K48*1.3</f>
        <v>2587</v>
      </c>
      <c r="K48" s="646">
        <v>1990</v>
      </c>
      <c r="L48" s="134"/>
      <c r="M48" s="135">
        <v>873.73</v>
      </c>
      <c r="N48" s="3">
        <v>1001</v>
      </c>
      <c r="O48" s="88">
        <v>0.3</v>
      </c>
      <c r="P48" s="89">
        <v>0.1</v>
      </c>
      <c r="Q48" s="87">
        <v>3.9960039960039939E-2</v>
      </c>
      <c r="S48" s="139">
        <f>1048*1.1</f>
        <v>1152.8000000000002</v>
      </c>
      <c r="T48" s="862"/>
    </row>
    <row r="49" spans="1:20" s="74" customFormat="1" ht="57" customHeight="1" thickBot="1">
      <c r="A49" s="539"/>
      <c r="B49" s="413"/>
      <c r="C49" s="72" t="s">
        <v>85</v>
      </c>
      <c r="D49" s="193" t="s">
        <v>78</v>
      </c>
      <c r="E49" s="613"/>
      <c r="F49" s="622"/>
      <c r="G49" s="201">
        <v>12.96</v>
      </c>
      <c r="H49" s="25">
        <v>1850</v>
      </c>
      <c r="I49" s="26">
        <v>11</v>
      </c>
      <c r="J49" s="92">
        <f>K49*1.3</f>
        <v>2587</v>
      </c>
      <c r="K49" s="646">
        <v>1990</v>
      </c>
      <c r="L49" s="134"/>
      <c r="M49" s="135">
        <v>873.73</v>
      </c>
      <c r="N49" s="3">
        <v>1001</v>
      </c>
      <c r="O49" s="88">
        <v>0.3</v>
      </c>
      <c r="P49" s="89">
        <v>0.1</v>
      </c>
      <c r="Q49" s="87">
        <v>3.9960039960039939E-2</v>
      </c>
      <c r="S49" s="139">
        <f>1048*1.1</f>
        <v>1152.8000000000002</v>
      </c>
      <c r="T49" s="862"/>
    </row>
    <row r="50" spans="1:20" ht="15" customHeight="1" thickBot="1">
      <c r="A50" s="513" t="s">
        <v>187</v>
      </c>
      <c r="B50" s="514"/>
      <c r="C50" s="514"/>
      <c r="D50" s="514"/>
      <c r="E50" s="514"/>
      <c r="F50" s="514"/>
      <c r="G50" s="514"/>
      <c r="H50" s="514"/>
      <c r="I50" s="514"/>
      <c r="J50" s="514"/>
      <c r="K50" s="557"/>
      <c r="L50" s="134"/>
      <c r="M50" s="135">
        <v>0</v>
      </c>
      <c r="N50" s="17"/>
      <c r="O50" s="10" t="e">
        <v>#DIV/0!</v>
      </c>
      <c r="P50" s="11" t="e">
        <v>#DIV/0!</v>
      </c>
      <c r="Q50" s="9" t="e">
        <v>#DIV/0!</v>
      </c>
      <c r="S50" s="69"/>
      <c r="T50" s="862"/>
    </row>
    <row r="51" spans="1:20" ht="57" customHeight="1" thickBot="1">
      <c r="A51" s="537">
        <v>8</v>
      </c>
      <c r="B51" s="515"/>
      <c r="C51" s="27" t="s">
        <v>90</v>
      </c>
      <c r="D51" s="28"/>
      <c r="E51" s="617" t="s">
        <v>127</v>
      </c>
      <c r="F51" s="621">
        <v>60</v>
      </c>
      <c r="G51" s="200">
        <v>12.7</v>
      </c>
      <c r="H51" s="109">
        <v>1770</v>
      </c>
      <c r="I51" s="29">
        <v>11</v>
      </c>
      <c r="J51" s="154">
        <f>K51*1.3</f>
        <v>2587</v>
      </c>
      <c r="K51" s="646">
        <v>1990</v>
      </c>
      <c r="L51" s="134"/>
      <c r="M51" s="135">
        <v>873.73</v>
      </c>
      <c r="N51" s="30">
        <v>1001</v>
      </c>
      <c r="O51" s="10">
        <v>0.3</v>
      </c>
      <c r="P51" s="11">
        <v>0.1</v>
      </c>
      <c r="Q51" s="9">
        <v>3.9960039960039939E-2</v>
      </c>
      <c r="S51" s="69">
        <f>1048*1.1</f>
        <v>1152.8000000000002</v>
      </c>
      <c r="T51" s="862"/>
    </row>
    <row r="52" spans="1:20" ht="57.75" customHeight="1" thickBot="1">
      <c r="A52" s="539"/>
      <c r="B52" s="415"/>
      <c r="C52" s="24" t="s">
        <v>91</v>
      </c>
      <c r="D52" s="31"/>
      <c r="E52" s="618"/>
      <c r="F52" s="622"/>
      <c r="G52" s="201">
        <v>12.7</v>
      </c>
      <c r="H52" s="25">
        <v>1770</v>
      </c>
      <c r="I52" s="32">
        <v>11</v>
      </c>
      <c r="J52" s="84">
        <f>K52*1.3</f>
        <v>2587</v>
      </c>
      <c r="K52" s="85">
        <v>1990</v>
      </c>
      <c r="L52" s="134"/>
      <c r="M52" s="135">
        <v>873.73</v>
      </c>
      <c r="N52" s="33">
        <v>1001</v>
      </c>
      <c r="O52" s="10">
        <v>0.3</v>
      </c>
      <c r="P52" s="11">
        <v>0.1</v>
      </c>
      <c r="Q52" s="9">
        <v>3.9960039960039939E-2</v>
      </c>
      <c r="S52" s="69"/>
      <c r="T52" s="862"/>
    </row>
    <row r="53" spans="1:20" ht="18.75" customHeight="1" thickBot="1">
      <c r="A53" s="513" t="s">
        <v>188</v>
      </c>
      <c r="B53" s="514"/>
      <c r="C53" s="514"/>
      <c r="D53" s="514"/>
      <c r="E53" s="514"/>
      <c r="F53" s="514"/>
      <c r="G53" s="514"/>
      <c r="H53" s="514"/>
      <c r="I53" s="514"/>
      <c r="J53" s="584"/>
      <c r="K53" s="584"/>
      <c r="L53" s="134"/>
      <c r="M53" s="135">
        <v>0</v>
      </c>
      <c r="N53" s="14"/>
      <c r="O53" s="10" t="e">
        <v>#DIV/0!</v>
      </c>
      <c r="P53" s="11" t="e">
        <v>#DIV/0!</v>
      </c>
      <c r="Q53" s="9" t="e">
        <v>#DIV/0!</v>
      </c>
      <c r="S53" s="69"/>
      <c r="T53" s="862"/>
    </row>
    <row r="54" spans="1:20" ht="57" customHeight="1" thickBot="1">
      <c r="A54" s="537">
        <v>9</v>
      </c>
      <c r="B54" s="416"/>
      <c r="C54" s="273" t="s">
        <v>6</v>
      </c>
      <c r="D54" s="325"/>
      <c r="E54" s="619" t="s">
        <v>152</v>
      </c>
      <c r="F54" s="608">
        <v>80</v>
      </c>
      <c r="G54" s="472">
        <v>10.8</v>
      </c>
      <c r="H54" s="312">
        <v>2024</v>
      </c>
      <c r="I54" s="476">
        <v>10</v>
      </c>
      <c r="J54" s="85">
        <f>K54*1.15</f>
        <v>2097.6</v>
      </c>
      <c r="K54" s="73">
        <v>1824</v>
      </c>
      <c r="L54" s="134"/>
      <c r="M54" s="135">
        <v>738.98</v>
      </c>
      <c r="N54" s="1">
        <v>830</v>
      </c>
      <c r="O54" s="10">
        <v>0.15</v>
      </c>
      <c r="P54" s="11">
        <v>0.05</v>
      </c>
      <c r="Q54" s="9">
        <v>2.0000000000000018E-2</v>
      </c>
      <c r="S54" s="69">
        <f>887*1.1</f>
        <v>975.7</v>
      </c>
    </row>
    <row r="55" spans="1:20" ht="57" customHeight="1" thickBot="1">
      <c r="A55" s="538"/>
      <c r="B55" s="603"/>
      <c r="C55" s="273" t="s">
        <v>14</v>
      </c>
      <c r="D55" s="325"/>
      <c r="E55" s="619"/>
      <c r="F55" s="609"/>
      <c r="G55" s="472">
        <v>10.8</v>
      </c>
      <c r="H55" s="312">
        <v>2024</v>
      </c>
      <c r="I55" s="476">
        <v>10</v>
      </c>
      <c r="J55" s="645">
        <f>K55*1.15</f>
        <v>2124.0499999999997</v>
      </c>
      <c r="K55" s="140">
        <v>1847</v>
      </c>
      <c r="L55" s="134"/>
      <c r="M55" s="135">
        <v>818.64</v>
      </c>
      <c r="N55" s="2">
        <v>920</v>
      </c>
      <c r="O55" s="10">
        <v>0.15</v>
      </c>
      <c r="P55" s="11">
        <v>0.05</v>
      </c>
      <c r="Q55" s="9">
        <v>0.03</v>
      </c>
      <c r="S55" s="69">
        <f>983*1.1</f>
        <v>1081.3000000000002</v>
      </c>
      <c r="T55" s="479"/>
    </row>
    <row r="56" spans="1:20" ht="57" customHeight="1" thickBot="1">
      <c r="A56" s="538"/>
      <c r="B56" s="417"/>
      <c r="C56" s="169" t="s">
        <v>85</v>
      </c>
      <c r="D56" s="182" t="s">
        <v>78</v>
      </c>
      <c r="E56" s="619"/>
      <c r="F56" s="609"/>
      <c r="G56" s="473">
        <v>10.8</v>
      </c>
      <c r="H56" s="323">
        <v>2024</v>
      </c>
      <c r="I56" s="477">
        <v>10</v>
      </c>
      <c r="J56" s="646">
        <f>K56*1.3</f>
        <v>2928.9</v>
      </c>
      <c r="K56" s="646">
        <v>2253</v>
      </c>
      <c r="L56" s="134"/>
      <c r="M56" s="135">
        <v>960.17</v>
      </c>
      <c r="N56" s="3">
        <v>1100</v>
      </c>
      <c r="O56" s="10">
        <v>0.3</v>
      </c>
      <c r="P56" s="11">
        <v>0.1</v>
      </c>
      <c r="Q56" s="9">
        <v>4.0000000000000036E-2</v>
      </c>
      <c r="S56" s="69">
        <f>1153*1.1</f>
        <v>1268.3000000000002</v>
      </c>
      <c r="T56" s="479"/>
    </row>
    <row r="57" spans="1:20" ht="57" customHeight="1" thickBot="1">
      <c r="A57" s="538"/>
      <c r="B57" s="187"/>
      <c r="C57" s="71" t="s">
        <v>96</v>
      </c>
      <c r="D57" s="183"/>
      <c r="E57" s="619"/>
      <c r="F57" s="609"/>
      <c r="G57" s="474">
        <v>10.8</v>
      </c>
      <c r="H57" s="22">
        <v>2024</v>
      </c>
      <c r="I57" s="23">
        <v>10</v>
      </c>
      <c r="J57" s="85">
        <f>K57*1.3</f>
        <v>2928.9</v>
      </c>
      <c r="K57" s="646">
        <v>2253</v>
      </c>
      <c r="L57" s="134"/>
      <c r="M57" s="135">
        <v>960.17</v>
      </c>
      <c r="N57" s="3">
        <v>1100</v>
      </c>
      <c r="O57" s="10">
        <v>0.3</v>
      </c>
      <c r="P57" s="11">
        <v>0.1</v>
      </c>
      <c r="Q57" s="9">
        <v>4.0000000000000036E-2</v>
      </c>
      <c r="S57" s="69"/>
      <c r="T57" s="479"/>
    </row>
    <row r="58" spans="1:20" ht="57" customHeight="1" thickBot="1">
      <c r="A58" s="538"/>
      <c r="B58" s="187"/>
      <c r="C58" s="71" t="s">
        <v>107</v>
      </c>
      <c r="D58" s="183"/>
      <c r="E58" s="619" t="s">
        <v>151</v>
      </c>
      <c r="F58" s="609"/>
      <c r="G58" s="474">
        <v>10.8</v>
      </c>
      <c r="H58" s="22">
        <v>2014</v>
      </c>
      <c r="I58" s="23">
        <v>10</v>
      </c>
      <c r="J58" s="85">
        <f>K58*1.3</f>
        <v>2928.9</v>
      </c>
      <c r="K58" s="646">
        <v>2253</v>
      </c>
      <c r="L58" s="134"/>
      <c r="M58" s="135">
        <v>960.17</v>
      </c>
      <c r="N58" s="3">
        <v>1100</v>
      </c>
      <c r="O58" s="10">
        <v>0.3</v>
      </c>
      <c r="P58" s="11">
        <v>0.1</v>
      </c>
      <c r="Q58" s="9">
        <v>4.0000000000000036E-2</v>
      </c>
      <c r="S58" s="69"/>
    </row>
    <row r="59" spans="1:20" ht="57" customHeight="1" thickBot="1">
      <c r="A59" s="538"/>
      <c r="B59" s="187"/>
      <c r="C59" s="71" t="s">
        <v>90</v>
      </c>
      <c r="D59" s="183"/>
      <c r="E59" s="619"/>
      <c r="F59" s="609"/>
      <c r="G59" s="474">
        <v>10.8</v>
      </c>
      <c r="H59" s="22">
        <v>2014</v>
      </c>
      <c r="I59" s="23">
        <v>10</v>
      </c>
      <c r="J59" s="85">
        <f>K59*1.3</f>
        <v>2928.9</v>
      </c>
      <c r="K59" s="646">
        <v>2253</v>
      </c>
      <c r="L59" s="134"/>
      <c r="M59" s="135">
        <v>960.17</v>
      </c>
      <c r="N59" s="3">
        <v>1100</v>
      </c>
      <c r="O59" s="10">
        <v>0.3</v>
      </c>
      <c r="P59" s="11">
        <v>0.1</v>
      </c>
      <c r="Q59" s="9">
        <v>4.0000000000000036E-2</v>
      </c>
      <c r="S59" s="69"/>
    </row>
    <row r="60" spans="1:20" ht="57" customHeight="1" thickBot="1">
      <c r="A60" s="538"/>
      <c r="B60" s="187"/>
      <c r="C60" s="71" t="s">
        <v>131</v>
      </c>
      <c r="D60" s="193"/>
      <c r="E60" s="619"/>
      <c r="F60" s="609"/>
      <c r="G60" s="474">
        <v>10.8</v>
      </c>
      <c r="H60" s="22">
        <v>2014</v>
      </c>
      <c r="I60" s="23">
        <v>10</v>
      </c>
      <c r="J60" s="85">
        <f>K60*1.3</f>
        <v>2928.9</v>
      </c>
      <c r="K60" s="646">
        <v>2253</v>
      </c>
      <c r="L60" s="134"/>
      <c r="M60" s="135">
        <v>960.17</v>
      </c>
      <c r="N60" s="3">
        <v>1100</v>
      </c>
      <c r="O60" s="10">
        <v>0.3</v>
      </c>
      <c r="P60" s="11">
        <v>0.1</v>
      </c>
      <c r="Q60" s="9">
        <v>4.0000000000000036E-2</v>
      </c>
      <c r="S60" s="69"/>
    </row>
    <row r="61" spans="1:20" ht="57" customHeight="1" thickBot="1">
      <c r="A61" s="538"/>
      <c r="B61" s="418"/>
      <c r="C61" s="71" t="s">
        <v>95</v>
      </c>
      <c r="D61" s="183"/>
      <c r="E61" s="619"/>
      <c r="F61" s="609"/>
      <c r="G61" s="474">
        <v>10.8</v>
      </c>
      <c r="H61" s="22">
        <v>2014</v>
      </c>
      <c r="I61" s="23">
        <v>10</v>
      </c>
      <c r="J61" s="85">
        <f>K61*1.3</f>
        <v>2928.9</v>
      </c>
      <c r="K61" s="646">
        <v>2253</v>
      </c>
      <c r="L61" s="134"/>
      <c r="M61" s="135">
        <v>960.17</v>
      </c>
      <c r="N61" s="3">
        <v>1100</v>
      </c>
      <c r="O61" s="10">
        <v>0.3</v>
      </c>
      <c r="P61" s="11">
        <v>0.1</v>
      </c>
      <c r="Q61" s="9">
        <v>4.0000000000000036E-2</v>
      </c>
      <c r="S61" s="69"/>
    </row>
    <row r="62" spans="1:20" ht="57" customHeight="1" thickBot="1">
      <c r="A62" s="538"/>
      <c r="B62" s="185"/>
      <c r="C62" s="71" t="s">
        <v>111</v>
      </c>
      <c r="D62" s="183"/>
      <c r="E62" s="619" t="s">
        <v>157</v>
      </c>
      <c r="F62" s="609"/>
      <c r="G62" s="474">
        <v>10.8</v>
      </c>
      <c r="H62" s="22">
        <v>1995</v>
      </c>
      <c r="I62" s="23">
        <v>10</v>
      </c>
      <c r="J62" s="85">
        <f>K62*1.3</f>
        <v>2928.9</v>
      </c>
      <c r="K62" s="646">
        <v>2253</v>
      </c>
      <c r="L62" s="134"/>
      <c r="M62" s="135">
        <v>960.17</v>
      </c>
      <c r="N62" s="3">
        <v>1100</v>
      </c>
      <c r="O62" s="10">
        <v>0.3</v>
      </c>
      <c r="P62" s="11">
        <v>0.1</v>
      </c>
      <c r="Q62" s="9">
        <v>4.0000000000000036E-2</v>
      </c>
      <c r="S62" s="69"/>
    </row>
    <row r="63" spans="1:20" s="74" customFormat="1" ht="57" customHeight="1" thickBot="1">
      <c r="A63" s="538"/>
      <c r="B63" s="420"/>
      <c r="C63" s="188" t="s">
        <v>105</v>
      </c>
      <c r="D63" s="189"/>
      <c r="E63" s="619"/>
      <c r="F63" s="609"/>
      <c r="G63" s="474">
        <v>10.8</v>
      </c>
      <c r="H63" s="22">
        <v>1995</v>
      </c>
      <c r="I63" s="23">
        <v>10</v>
      </c>
      <c r="J63" s="85">
        <f>K63*1.3</f>
        <v>3052.4</v>
      </c>
      <c r="K63" s="85">
        <v>2348</v>
      </c>
      <c r="L63" s="134"/>
      <c r="M63" s="135"/>
      <c r="N63" s="4">
        <v>1100</v>
      </c>
      <c r="O63" s="88">
        <v>0.3</v>
      </c>
      <c r="P63" s="89">
        <v>0.1</v>
      </c>
      <c r="Q63" s="87">
        <v>4.0000000000000036E-2</v>
      </c>
      <c r="S63" s="139"/>
    </row>
    <row r="64" spans="1:20" ht="57" customHeight="1" thickBot="1">
      <c r="A64" s="539"/>
      <c r="B64" s="421"/>
      <c r="C64" s="190" t="s">
        <v>106</v>
      </c>
      <c r="D64" s="153"/>
      <c r="E64" s="620"/>
      <c r="F64" s="610"/>
      <c r="G64" s="475">
        <v>10.8</v>
      </c>
      <c r="H64" s="25">
        <v>1995</v>
      </c>
      <c r="I64" s="26">
        <v>10</v>
      </c>
      <c r="J64" s="85">
        <f>K64*1.3</f>
        <v>3052.4</v>
      </c>
      <c r="K64" s="85">
        <v>2348</v>
      </c>
      <c r="L64" s="134"/>
      <c r="M64" s="135">
        <v>960.17</v>
      </c>
      <c r="N64" s="4">
        <v>1100</v>
      </c>
      <c r="O64" s="10">
        <v>0.3</v>
      </c>
      <c r="P64" s="11">
        <v>0.1</v>
      </c>
      <c r="Q64" s="9">
        <v>4.0000000000000036E-2</v>
      </c>
      <c r="S64" s="69"/>
    </row>
    <row r="65" spans="1:19" ht="15" customHeight="1" thickBot="1">
      <c r="A65" s="513" t="s">
        <v>189</v>
      </c>
      <c r="B65" s="514"/>
      <c r="C65" s="514"/>
      <c r="D65" s="514"/>
      <c r="E65" s="514"/>
      <c r="F65" s="514"/>
      <c r="G65" s="584"/>
      <c r="H65" s="584"/>
      <c r="I65" s="584"/>
      <c r="J65" s="872"/>
      <c r="K65" s="584"/>
      <c r="L65" s="134"/>
      <c r="M65" s="135">
        <v>0</v>
      </c>
      <c r="N65" s="35"/>
      <c r="O65" s="10" t="e">
        <v>#DIV/0!</v>
      </c>
      <c r="P65" s="11" t="e">
        <v>#DIV/0!</v>
      </c>
      <c r="Q65" s="9" t="e">
        <v>#DIV/0!</v>
      </c>
      <c r="S65" s="69"/>
    </row>
    <row r="66" spans="1:19" ht="57" customHeight="1" thickBot="1">
      <c r="A66" s="162">
        <v>10</v>
      </c>
      <c r="B66" s="422"/>
      <c r="C66" s="207" t="s">
        <v>6</v>
      </c>
      <c r="D66" s="36" t="s">
        <v>78</v>
      </c>
      <c r="E66" s="321" t="s">
        <v>128</v>
      </c>
      <c r="F66" s="326">
        <v>80</v>
      </c>
      <c r="G66" s="129">
        <v>10</v>
      </c>
      <c r="H66" s="110">
        <v>1506</v>
      </c>
      <c r="I66" s="111">
        <v>13</v>
      </c>
      <c r="J66" s="873">
        <f>ROUND(K66+K66*O66,0)</f>
        <v>1562</v>
      </c>
      <c r="K66" s="864">
        <v>1358</v>
      </c>
      <c r="L66" s="134"/>
      <c r="M66" s="135">
        <v>523.73</v>
      </c>
      <c r="N66" s="12">
        <v>589</v>
      </c>
      <c r="O66" s="10">
        <v>0.15</v>
      </c>
      <c r="P66" s="11">
        <v>0.05</v>
      </c>
      <c r="Q66" s="9">
        <v>0.02</v>
      </c>
      <c r="S66" s="69">
        <f>629*1.1</f>
        <v>691.90000000000009</v>
      </c>
    </row>
    <row r="67" spans="1:19" ht="15" customHeight="1" thickBot="1">
      <c r="A67" s="513" t="s">
        <v>190</v>
      </c>
      <c r="B67" s="514"/>
      <c r="C67" s="514"/>
      <c r="D67" s="514"/>
      <c r="E67" s="514"/>
      <c r="F67" s="514"/>
      <c r="G67" s="514"/>
      <c r="H67" s="514"/>
      <c r="I67" s="514"/>
      <c r="J67" s="872"/>
      <c r="K67" s="514"/>
      <c r="L67" s="134"/>
      <c r="M67" s="135">
        <v>0</v>
      </c>
      <c r="N67" s="35"/>
      <c r="O67" s="10" t="e">
        <v>#DIV/0!</v>
      </c>
      <c r="P67" s="11" t="e">
        <v>#DIV/0!</v>
      </c>
      <c r="Q67" s="9" t="e">
        <v>#DIV/0!</v>
      </c>
      <c r="S67" s="69"/>
    </row>
    <row r="68" spans="1:19" ht="30" customHeight="1">
      <c r="A68" s="598">
        <v>11</v>
      </c>
      <c r="B68" s="592"/>
      <c r="C68" s="508" t="s">
        <v>6</v>
      </c>
      <c r="D68" s="100" t="s">
        <v>78</v>
      </c>
      <c r="E68" s="633" t="s">
        <v>21</v>
      </c>
      <c r="F68" s="515">
        <v>60</v>
      </c>
      <c r="G68" s="548">
        <v>12.9</v>
      </c>
      <c r="H68" s="531">
        <v>1777</v>
      </c>
      <c r="I68" s="112">
        <v>11</v>
      </c>
      <c r="J68" s="874">
        <f>ROUND(K68+K68*O68,0)</f>
        <v>1286</v>
      </c>
      <c r="K68" s="455">
        <v>1169</v>
      </c>
      <c r="L68" s="134"/>
      <c r="M68" s="135">
        <v>450.85</v>
      </c>
      <c r="N68" s="37">
        <v>507</v>
      </c>
      <c r="O68" s="10">
        <v>0.1</v>
      </c>
      <c r="P68" s="11">
        <v>0.03</v>
      </c>
      <c r="Q68" s="9">
        <v>0.02</v>
      </c>
      <c r="S68" s="69">
        <f>541*1.1</f>
        <v>595.1</v>
      </c>
    </row>
    <row r="69" spans="1:19" ht="30" customHeight="1" thickBot="1">
      <c r="A69" s="599"/>
      <c r="B69" s="593"/>
      <c r="C69" s="510"/>
      <c r="D69" s="672"/>
      <c r="E69" s="634"/>
      <c r="F69" s="330">
        <v>80</v>
      </c>
      <c r="G69" s="327">
        <v>10.75</v>
      </c>
      <c r="H69" s="160">
        <v>1973</v>
      </c>
      <c r="I69" s="209">
        <v>10</v>
      </c>
      <c r="J69" s="875">
        <f>ROUND(K69+K69*O69,0)</f>
        <v>1494</v>
      </c>
      <c r="K69" s="865">
        <v>1358</v>
      </c>
      <c r="L69" s="134"/>
      <c r="M69" s="135">
        <v>523.73</v>
      </c>
      <c r="N69" s="38">
        <v>589</v>
      </c>
      <c r="O69" s="10">
        <v>0.1</v>
      </c>
      <c r="P69" s="11">
        <v>0.03</v>
      </c>
      <c r="Q69" s="9">
        <v>0.02</v>
      </c>
      <c r="S69" s="69">
        <f>629*1.1</f>
        <v>691.90000000000009</v>
      </c>
    </row>
    <row r="70" spans="1:19" ht="30" customHeight="1">
      <c r="A70" s="599"/>
      <c r="B70" s="637"/>
      <c r="C70" s="511" t="s">
        <v>14</v>
      </c>
      <c r="D70" s="100" t="s">
        <v>78</v>
      </c>
      <c r="E70" s="635"/>
      <c r="F70" s="515">
        <v>60</v>
      </c>
      <c r="G70" s="548">
        <v>12.9</v>
      </c>
      <c r="H70" s="531">
        <v>1777</v>
      </c>
      <c r="I70" s="112">
        <v>11</v>
      </c>
      <c r="J70" s="874">
        <f>ROUND(K70+K70*O70,0)</f>
        <v>1440</v>
      </c>
      <c r="K70" s="455">
        <v>1252</v>
      </c>
      <c r="L70" s="134"/>
      <c r="M70" s="135">
        <v>501.69</v>
      </c>
      <c r="N70" s="15">
        <v>564</v>
      </c>
      <c r="O70" s="10">
        <v>0.15</v>
      </c>
      <c r="P70" s="11">
        <v>0.05</v>
      </c>
      <c r="Q70" s="9">
        <v>0.03</v>
      </c>
      <c r="S70" s="69">
        <f>602*1.1</f>
        <v>662.2</v>
      </c>
    </row>
    <row r="71" spans="1:19" ht="30" customHeight="1" thickBot="1">
      <c r="A71" s="599"/>
      <c r="B71" s="638"/>
      <c r="C71" s="512"/>
      <c r="D71" s="672"/>
      <c r="E71" s="636"/>
      <c r="F71" s="504">
        <v>80</v>
      </c>
      <c r="G71" s="562">
        <v>10.75</v>
      </c>
      <c r="H71" s="534">
        <v>1973</v>
      </c>
      <c r="I71" s="40">
        <v>10</v>
      </c>
      <c r="J71" s="875">
        <f>ROUND(K71+K71*O71,0)</f>
        <v>1733</v>
      </c>
      <c r="K71" s="865">
        <v>1507</v>
      </c>
      <c r="L71" s="134"/>
      <c r="M71" s="135">
        <v>601.69000000000005</v>
      </c>
      <c r="N71" s="39">
        <v>676</v>
      </c>
      <c r="O71" s="10">
        <v>0.15</v>
      </c>
      <c r="P71" s="11">
        <v>0.05</v>
      </c>
      <c r="Q71" s="9">
        <v>0.03</v>
      </c>
      <c r="S71" s="69">
        <f>722*1.1</f>
        <v>794.2</v>
      </c>
    </row>
    <row r="72" spans="1:19" s="74" customFormat="1" ht="30" customHeight="1">
      <c r="A72" s="599"/>
      <c r="B72" s="589"/>
      <c r="C72" s="511" t="s">
        <v>44</v>
      </c>
      <c r="D72" s="100" t="s">
        <v>78</v>
      </c>
      <c r="E72" s="636"/>
      <c r="F72" s="550">
        <v>60</v>
      </c>
      <c r="G72" s="561">
        <v>12.9</v>
      </c>
      <c r="H72" s="532">
        <v>1777</v>
      </c>
      <c r="I72" s="210">
        <v>11</v>
      </c>
      <c r="J72" s="874">
        <f>ROUND(K72+K72*O72,0)</f>
        <v>1440</v>
      </c>
      <c r="K72" s="455">
        <v>1252</v>
      </c>
      <c r="L72" s="134"/>
      <c r="M72" s="135">
        <v>501.69</v>
      </c>
      <c r="N72" s="15">
        <v>564</v>
      </c>
      <c r="O72" s="88">
        <v>0.15</v>
      </c>
      <c r="P72" s="89">
        <v>0.05</v>
      </c>
      <c r="Q72" s="87">
        <v>0.03</v>
      </c>
      <c r="S72" s="139">
        <f>602*1.1</f>
        <v>662.2</v>
      </c>
    </row>
    <row r="73" spans="1:19" s="74" customFormat="1" ht="30" customHeight="1" thickBot="1">
      <c r="A73" s="599"/>
      <c r="B73" s="590"/>
      <c r="C73" s="625"/>
      <c r="D73" s="457"/>
      <c r="E73" s="636"/>
      <c r="F73" s="330">
        <v>80</v>
      </c>
      <c r="G73" s="327">
        <v>10.75</v>
      </c>
      <c r="H73" s="160">
        <v>1973</v>
      </c>
      <c r="I73" s="209">
        <v>10</v>
      </c>
      <c r="J73" s="875">
        <f>ROUND(K73+K73*O73,0)</f>
        <v>1733</v>
      </c>
      <c r="K73" s="865">
        <v>1507</v>
      </c>
      <c r="L73" s="134"/>
      <c r="M73" s="135">
        <v>601.69000000000005</v>
      </c>
      <c r="N73" s="39">
        <v>676</v>
      </c>
      <c r="O73" s="88">
        <v>0.15</v>
      </c>
      <c r="P73" s="89">
        <v>0.05</v>
      </c>
      <c r="Q73" s="87">
        <v>0.03</v>
      </c>
      <c r="S73" s="139">
        <f>722*1.1</f>
        <v>794.2</v>
      </c>
    </row>
    <row r="74" spans="1:19" ht="30" customHeight="1">
      <c r="A74" s="599"/>
      <c r="B74" s="592"/>
      <c r="C74" s="596" t="s">
        <v>101</v>
      </c>
      <c r="D74" s="100" t="s">
        <v>78</v>
      </c>
      <c r="E74" s="490" t="s">
        <v>21</v>
      </c>
      <c r="F74" s="494">
        <v>60</v>
      </c>
      <c r="G74" s="329">
        <v>12.9</v>
      </c>
      <c r="H74" s="531">
        <v>1777</v>
      </c>
      <c r="I74" s="112">
        <v>11</v>
      </c>
      <c r="J74" s="874">
        <f>ROUND(K74+K74*O74,0)</f>
        <v>2319</v>
      </c>
      <c r="K74" s="455">
        <v>1784</v>
      </c>
      <c r="L74" s="134"/>
      <c r="M74" s="135">
        <v>782.2</v>
      </c>
      <c r="N74" s="42">
        <v>896</v>
      </c>
      <c r="O74" s="10">
        <v>0.3</v>
      </c>
      <c r="P74" s="11">
        <v>0.1</v>
      </c>
      <c r="Q74" s="9">
        <v>0.04</v>
      </c>
      <c r="S74" s="69">
        <f>939*1.1</f>
        <v>1032.9000000000001</v>
      </c>
    </row>
    <row r="75" spans="1:19" ht="30" customHeight="1" thickBot="1">
      <c r="A75" s="599"/>
      <c r="B75" s="208"/>
      <c r="C75" s="597"/>
      <c r="D75" s="153"/>
      <c r="E75" s="491"/>
      <c r="F75" s="496">
        <v>80</v>
      </c>
      <c r="G75" s="562">
        <v>10.75</v>
      </c>
      <c r="H75" s="534">
        <v>1973</v>
      </c>
      <c r="I75" s="148">
        <v>10</v>
      </c>
      <c r="J75" s="875">
        <f>ROUND(K75+K75*O75,0)</f>
        <v>2605</v>
      </c>
      <c r="K75" s="865">
        <v>2004</v>
      </c>
      <c r="L75" s="134"/>
      <c r="M75" s="135">
        <v>879.66</v>
      </c>
      <c r="N75" s="43">
        <v>1008</v>
      </c>
      <c r="O75" s="10">
        <v>0.3</v>
      </c>
      <c r="P75" s="11">
        <v>0.1</v>
      </c>
      <c r="Q75" s="9">
        <v>0.04</v>
      </c>
      <c r="S75" s="69">
        <f>1056*1.1</f>
        <v>1161.6000000000001</v>
      </c>
    </row>
    <row r="76" spans="1:19" ht="27.9" customHeight="1">
      <c r="A76" s="599"/>
      <c r="B76" s="592"/>
      <c r="C76" s="601" t="s">
        <v>102</v>
      </c>
      <c r="D76" s="100" t="s">
        <v>78</v>
      </c>
      <c r="E76" s="491"/>
      <c r="F76" s="494">
        <v>60</v>
      </c>
      <c r="G76" s="329">
        <v>12.9</v>
      </c>
      <c r="H76" s="531">
        <v>1777</v>
      </c>
      <c r="I76" s="112">
        <v>11</v>
      </c>
      <c r="J76" s="874">
        <f>ROUND(K76+K76*O76,0)</f>
        <v>2319</v>
      </c>
      <c r="K76" s="455">
        <v>1784</v>
      </c>
      <c r="L76" s="134"/>
      <c r="M76" s="135">
        <v>782.2</v>
      </c>
      <c r="N76" s="44">
        <v>896</v>
      </c>
      <c r="O76" s="10">
        <v>0.3</v>
      </c>
      <c r="P76" s="11">
        <v>0.1</v>
      </c>
      <c r="Q76" s="9">
        <v>0.04</v>
      </c>
      <c r="S76" s="69"/>
    </row>
    <row r="77" spans="1:19" ht="29.25" customHeight="1" thickBot="1">
      <c r="A77" s="599"/>
      <c r="B77" s="338"/>
      <c r="C77" s="602"/>
      <c r="D77" s="153"/>
      <c r="E77" s="491"/>
      <c r="F77" s="496">
        <v>80</v>
      </c>
      <c r="G77" s="562">
        <v>10.75</v>
      </c>
      <c r="H77" s="534">
        <v>1973</v>
      </c>
      <c r="I77" s="148">
        <v>10</v>
      </c>
      <c r="J77" s="875">
        <f>ROUND(K77+K77*O77,0)</f>
        <v>2605</v>
      </c>
      <c r="K77" s="865">
        <v>2004</v>
      </c>
      <c r="L77" s="134"/>
      <c r="M77" s="135">
        <v>879.66</v>
      </c>
      <c r="N77" s="43">
        <v>1008</v>
      </c>
      <c r="O77" s="10">
        <v>0.3</v>
      </c>
      <c r="P77" s="11">
        <v>0.1</v>
      </c>
      <c r="Q77" s="9">
        <v>0.04</v>
      </c>
      <c r="S77" s="69"/>
    </row>
    <row r="78" spans="1:19" ht="30" customHeight="1">
      <c r="A78" s="599"/>
      <c r="B78" s="592"/>
      <c r="C78" s="596" t="s">
        <v>103</v>
      </c>
      <c r="D78" s="100" t="s">
        <v>78</v>
      </c>
      <c r="E78" s="491"/>
      <c r="F78" s="494">
        <v>60</v>
      </c>
      <c r="G78" s="548">
        <v>12.9</v>
      </c>
      <c r="H78" s="531">
        <v>1777</v>
      </c>
      <c r="I78" s="112">
        <v>11</v>
      </c>
      <c r="J78" s="874">
        <f>ROUND(K78+K78*O78,0)</f>
        <v>2319</v>
      </c>
      <c r="K78" s="455">
        <v>1784</v>
      </c>
      <c r="L78" s="134"/>
      <c r="M78" s="135">
        <v>782.2</v>
      </c>
      <c r="N78" s="44">
        <v>896</v>
      </c>
      <c r="O78" s="10">
        <v>0.3</v>
      </c>
      <c r="P78" s="11">
        <v>0.1</v>
      </c>
      <c r="Q78" s="9">
        <v>0.04</v>
      </c>
      <c r="S78" s="69"/>
    </row>
    <row r="79" spans="1:19" ht="30" customHeight="1" thickBot="1">
      <c r="A79" s="599"/>
      <c r="B79" s="208"/>
      <c r="C79" s="597"/>
      <c r="D79" s="153"/>
      <c r="E79" s="491"/>
      <c r="F79" s="496">
        <v>80</v>
      </c>
      <c r="G79" s="562">
        <v>10.75</v>
      </c>
      <c r="H79" s="534">
        <v>1973</v>
      </c>
      <c r="I79" s="148">
        <v>10</v>
      </c>
      <c r="J79" s="875">
        <f>ROUND(K79+K79*O79,0)</f>
        <v>2605</v>
      </c>
      <c r="K79" s="865">
        <v>2004</v>
      </c>
      <c r="L79" s="134"/>
      <c r="M79" s="135">
        <v>879.66</v>
      </c>
      <c r="N79" s="43">
        <v>1008</v>
      </c>
      <c r="O79" s="10">
        <v>0.3</v>
      </c>
      <c r="P79" s="11">
        <v>0.1</v>
      </c>
      <c r="Q79" s="9">
        <v>0.04</v>
      </c>
      <c r="S79" s="69"/>
    </row>
    <row r="80" spans="1:19" ht="28.5" customHeight="1">
      <c r="A80" s="599"/>
      <c r="B80" s="592"/>
      <c r="C80" s="594" t="s">
        <v>100</v>
      </c>
      <c r="D80" s="100" t="s">
        <v>78</v>
      </c>
      <c r="E80" s="491"/>
      <c r="F80" s="494">
        <v>60</v>
      </c>
      <c r="G80" s="548">
        <v>12.9</v>
      </c>
      <c r="H80" s="531">
        <v>1777</v>
      </c>
      <c r="I80" s="112">
        <v>11</v>
      </c>
      <c r="J80" s="874">
        <f>ROUND(K80+K80*O80,0)</f>
        <v>2319</v>
      </c>
      <c r="K80" s="455">
        <v>1784</v>
      </c>
      <c r="L80" s="134"/>
      <c r="M80" s="135">
        <v>782.2</v>
      </c>
      <c r="N80" s="44">
        <v>896</v>
      </c>
      <c r="O80" s="10">
        <v>0.3</v>
      </c>
      <c r="P80" s="11">
        <v>0.1</v>
      </c>
      <c r="Q80" s="9">
        <v>0.04</v>
      </c>
      <c r="S80" s="69"/>
    </row>
    <row r="81" spans="1:19" ht="29.25" customHeight="1" thickBot="1">
      <c r="A81" s="599"/>
      <c r="B81" s="338"/>
      <c r="C81" s="595"/>
      <c r="D81" s="153"/>
      <c r="E81" s="491"/>
      <c r="F81" s="496">
        <v>80</v>
      </c>
      <c r="G81" s="562">
        <v>10.75</v>
      </c>
      <c r="H81" s="534">
        <v>1973</v>
      </c>
      <c r="I81" s="148">
        <v>10</v>
      </c>
      <c r="J81" s="875">
        <f>ROUND(K81+K81*O81,0)</f>
        <v>2605</v>
      </c>
      <c r="K81" s="865">
        <v>2004</v>
      </c>
      <c r="L81" s="134"/>
      <c r="M81" s="135">
        <v>879.66</v>
      </c>
      <c r="N81" s="43">
        <v>1008</v>
      </c>
      <c r="O81" s="10">
        <v>0.3</v>
      </c>
      <c r="P81" s="11">
        <v>0.1</v>
      </c>
      <c r="Q81" s="9">
        <v>0.04</v>
      </c>
      <c r="S81" s="69"/>
    </row>
    <row r="82" spans="1:19" ht="30" customHeight="1">
      <c r="A82" s="599"/>
      <c r="B82" s="341"/>
      <c r="C82" s="587" t="s">
        <v>99</v>
      </c>
      <c r="D82" s="100" t="s">
        <v>78</v>
      </c>
      <c r="E82" s="491"/>
      <c r="F82" s="494">
        <v>60</v>
      </c>
      <c r="G82" s="548">
        <v>12.9</v>
      </c>
      <c r="H82" s="531">
        <v>1777</v>
      </c>
      <c r="I82" s="112">
        <v>11</v>
      </c>
      <c r="J82" s="874">
        <f>ROUND(K82+K82*O82,0)</f>
        <v>2319</v>
      </c>
      <c r="K82" s="455">
        <v>1784</v>
      </c>
      <c r="L82" s="134"/>
      <c r="M82" s="135">
        <v>782.2</v>
      </c>
      <c r="N82" s="44">
        <v>896</v>
      </c>
      <c r="O82" s="10">
        <v>0.3</v>
      </c>
      <c r="P82" s="11">
        <v>0.1</v>
      </c>
      <c r="Q82" s="9">
        <v>0.04</v>
      </c>
      <c r="S82" s="69"/>
    </row>
    <row r="83" spans="1:19" ht="30" customHeight="1" thickBot="1">
      <c r="A83" s="599"/>
      <c r="B83" s="208"/>
      <c r="C83" s="588"/>
      <c r="D83" s="153"/>
      <c r="E83" s="491"/>
      <c r="F83" s="496">
        <v>80</v>
      </c>
      <c r="G83" s="562">
        <v>10.75</v>
      </c>
      <c r="H83" s="534">
        <v>1973</v>
      </c>
      <c r="I83" s="40">
        <v>10</v>
      </c>
      <c r="J83" s="875">
        <f>ROUND(K83+K83*O83,0)</f>
        <v>2605</v>
      </c>
      <c r="K83" s="865">
        <v>2004</v>
      </c>
      <c r="L83" s="134"/>
      <c r="M83" s="135">
        <v>879.66</v>
      </c>
      <c r="N83" s="43">
        <v>1008</v>
      </c>
      <c r="O83" s="10">
        <v>0.3</v>
      </c>
      <c r="P83" s="11">
        <v>0.1</v>
      </c>
      <c r="Q83" s="9">
        <v>0.04</v>
      </c>
      <c r="S83" s="69"/>
    </row>
    <row r="84" spans="1:19" ht="30" customHeight="1">
      <c r="A84" s="599"/>
      <c r="B84" s="341"/>
      <c r="C84" s="587" t="s">
        <v>109</v>
      </c>
      <c r="D84" s="100" t="s">
        <v>78</v>
      </c>
      <c r="E84" s="491"/>
      <c r="F84" s="494">
        <v>60</v>
      </c>
      <c r="G84" s="548">
        <v>12.9</v>
      </c>
      <c r="H84" s="531">
        <v>1777</v>
      </c>
      <c r="I84" s="112">
        <v>11</v>
      </c>
      <c r="J84" s="874">
        <f>ROUND(K84+K84*O84,0)</f>
        <v>2319</v>
      </c>
      <c r="K84" s="455">
        <v>1784</v>
      </c>
      <c r="L84" s="134"/>
      <c r="M84" s="135">
        <v>782.2</v>
      </c>
      <c r="N84" s="45">
        <v>896</v>
      </c>
      <c r="O84" s="10">
        <v>0.3</v>
      </c>
      <c r="P84" s="11">
        <v>0.1</v>
      </c>
      <c r="Q84" s="9">
        <v>0.04</v>
      </c>
      <c r="S84" s="69"/>
    </row>
    <row r="85" spans="1:19" ht="30" customHeight="1" thickBot="1">
      <c r="A85" s="599"/>
      <c r="B85" s="208"/>
      <c r="C85" s="588"/>
      <c r="D85" s="153"/>
      <c r="E85" s="491"/>
      <c r="F85" s="496">
        <v>80</v>
      </c>
      <c r="G85" s="562">
        <v>10.75</v>
      </c>
      <c r="H85" s="534">
        <v>1973</v>
      </c>
      <c r="I85" s="40">
        <v>10</v>
      </c>
      <c r="J85" s="875">
        <f>ROUND(K85+K85*O85,0)</f>
        <v>2605</v>
      </c>
      <c r="K85" s="865">
        <v>2004</v>
      </c>
      <c r="L85" s="134"/>
      <c r="M85" s="135">
        <v>879.66</v>
      </c>
      <c r="N85" s="43">
        <v>1008</v>
      </c>
      <c r="O85" s="10">
        <v>0.3</v>
      </c>
      <c r="P85" s="11">
        <v>0.1</v>
      </c>
      <c r="Q85" s="9">
        <v>0.04</v>
      </c>
      <c r="S85" s="69"/>
    </row>
    <row r="86" spans="1:19" ht="30" customHeight="1">
      <c r="A86" s="599"/>
      <c r="B86" s="592"/>
      <c r="C86" s="587" t="s">
        <v>97</v>
      </c>
      <c r="D86" s="100" t="s">
        <v>78</v>
      </c>
      <c r="E86" s="491"/>
      <c r="F86" s="494">
        <v>60</v>
      </c>
      <c r="G86" s="548">
        <v>12.9</v>
      </c>
      <c r="H86" s="531">
        <v>1777</v>
      </c>
      <c r="I86" s="112">
        <v>11</v>
      </c>
      <c r="J86" s="874">
        <f>ROUND(K86+K86*O86,0)</f>
        <v>2319</v>
      </c>
      <c r="K86" s="455">
        <v>1784</v>
      </c>
      <c r="L86" s="134"/>
      <c r="M86" s="135">
        <v>782.2</v>
      </c>
      <c r="N86" s="44">
        <v>896</v>
      </c>
      <c r="O86" s="10">
        <v>0.3</v>
      </c>
      <c r="P86" s="11">
        <v>0.1</v>
      </c>
      <c r="Q86" s="9">
        <v>0.04</v>
      </c>
      <c r="S86" s="69"/>
    </row>
    <row r="87" spans="1:19" ht="30" customHeight="1" thickBot="1">
      <c r="A87" s="599"/>
      <c r="B87" s="208"/>
      <c r="C87" s="588"/>
      <c r="D87" s="153"/>
      <c r="E87" s="491"/>
      <c r="F87" s="496">
        <v>80</v>
      </c>
      <c r="G87" s="562">
        <v>10.75</v>
      </c>
      <c r="H87" s="534">
        <v>1973</v>
      </c>
      <c r="I87" s="40">
        <v>10</v>
      </c>
      <c r="J87" s="875">
        <f>ROUND(K87+K87*O87,0)</f>
        <v>2605</v>
      </c>
      <c r="K87" s="865">
        <v>2004</v>
      </c>
      <c r="L87" s="134"/>
      <c r="M87" s="135">
        <v>879.66</v>
      </c>
      <c r="N87" s="43">
        <v>1008</v>
      </c>
      <c r="O87" s="10">
        <v>0.3</v>
      </c>
      <c r="P87" s="11">
        <v>0.1</v>
      </c>
      <c r="Q87" s="9">
        <v>0.04</v>
      </c>
      <c r="S87" s="69"/>
    </row>
    <row r="88" spans="1:19" ht="30" customHeight="1">
      <c r="A88" s="599"/>
      <c r="B88" s="592"/>
      <c r="C88" s="587" t="s">
        <v>96</v>
      </c>
      <c r="D88" s="100" t="s">
        <v>78</v>
      </c>
      <c r="E88" s="491"/>
      <c r="F88" s="494">
        <v>60</v>
      </c>
      <c r="G88" s="548">
        <v>12.9</v>
      </c>
      <c r="H88" s="531">
        <v>1777</v>
      </c>
      <c r="I88" s="112">
        <v>11</v>
      </c>
      <c r="J88" s="874">
        <f>ROUND(K88+K88*O88,0)</f>
        <v>2319</v>
      </c>
      <c r="K88" s="455">
        <v>1784</v>
      </c>
      <c r="L88" s="134"/>
      <c r="M88" s="135">
        <v>782.2</v>
      </c>
      <c r="N88" s="44">
        <v>896</v>
      </c>
      <c r="O88" s="10">
        <v>0.3</v>
      </c>
      <c r="P88" s="11">
        <v>0.1</v>
      </c>
      <c r="Q88" s="9">
        <v>0.04</v>
      </c>
      <c r="S88" s="69"/>
    </row>
    <row r="89" spans="1:19" ht="30" customHeight="1" thickBot="1">
      <c r="A89" s="599"/>
      <c r="B89" s="208"/>
      <c r="C89" s="588"/>
      <c r="D89" s="153"/>
      <c r="E89" s="491"/>
      <c r="F89" s="496">
        <v>80</v>
      </c>
      <c r="G89" s="562">
        <v>10.75</v>
      </c>
      <c r="H89" s="534">
        <v>1973</v>
      </c>
      <c r="I89" s="40">
        <v>10</v>
      </c>
      <c r="J89" s="875">
        <f>ROUND(K89+K89*O89,0)</f>
        <v>2605</v>
      </c>
      <c r="K89" s="865">
        <v>2004</v>
      </c>
      <c r="L89" s="134"/>
      <c r="M89" s="135">
        <v>879.66</v>
      </c>
      <c r="N89" s="43">
        <v>1008</v>
      </c>
      <c r="O89" s="10">
        <v>0.3</v>
      </c>
      <c r="P89" s="11">
        <v>0.1</v>
      </c>
      <c r="Q89" s="9">
        <v>0.04</v>
      </c>
      <c r="S89" s="69"/>
    </row>
    <row r="90" spans="1:19" ht="30" customHeight="1">
      <c r="A90" s="599"/>
      <c r="B90" s="592"/>
      <c r="C90" s="587" t="s">
        <v>93</v>
      </c>
      <c r="D90" s="100" t="s">
        <v>78</v>
      </c>
      <c r="E90" s="491"/>
      <c r="F90" s="494">
        <v>60</v>
      </c>
      <c r="G90" s="548">
        <v>12.9</v>
      </c>
      <c r="H90" s="531">
        <v>1777</v>
      </c>
      <c r="I90" s="112">
        <v>11</v>
      </c>
      <c r="J90" s="874">
        <f>ROUND(K90+K90*O90,0)</f>
        <v>2319</v>
      </c>
      <c r="K90" s="455">
        <v>1784</v>
      </c>
      <c r="L90" s="134"/>
      <c r="M90" s="135">
        <v>782.2</v>
      </c>
      <c r="N90" s="44">
        <v>896</v>
      </c>
      <c r="O90" s="10">
        <v>0.3</v>
      </c>
      <c r="P90" s="11">
        <v>0.1</v>
      </c>
      <c r="Q90" s="9">
        <v>0.04</v>
      </c>
      <c r="S90" s="69"/>
    </row>
    <row r="91" spans="1:19" ht="30" customHeight="1" thickBot="1">
      <c r="A91" s="599"/>
      <c r="B91" s="338"/>
      <c r="C91" s="588"/>
      <c r="D91" s="153"/>
      <c r="E91" s="491"/>
      <c r="F91" s="496">
        <v>80</v>
      </c>
      <c r="G91" s="562">
        <v>10.75</v>
      </c>
      <c r="H91" s="534">
        <v>1973</v>
      </c>
      <c r="I91" s="40">
        <v>10</v>
      </c>
      <c r="J91" s="875">
        <f>ROUND(K91+K91*O91,0)</f>
        <v>2605</v>
      </c>
      <c r="K91" s="865">
        <v>2004</v>
      </c>
      <c r="L91" s="134"/>
      <c r="M91" s="135">
        <v>879.66</v>
      </c>
      <c r="N91" s="43">
        <v>1008</v>
      </c>
      <c r="O91" s="10">
        <v>0.3</v>
      </c>
      <c r="P91" s="11">
        <v>0.1</v>
      </c>
      <c r="Q91" s="9">
        <v>0.04</v>
      </c>
      <c r="S91" s="69"/>
    </row>
    <row r="92" spans="1:19" ht="30" customHeight="1">
      <c r="A92" s="599"/>
      <c r="B92" s="341"/>
      <c r="C92" s="587" t="s">
        <v>94</v>
      </c>
      <c r="D92" s="100"/>
      <c r="E92" s="491"/>
      <c r="F92" s="494">
        <v>60</v>
      </c>
      <c r="G92" s="548">
        <v>12.9</v>
      </c>
      <c r="H92" s="531">
        <v>1777</v>
      </c>
      <c r="I92" s="112">
        <v>11</v>
      </c>
      <c r="J92" s="874">
        <f>ROUND(K92+K92*O92,0)</f>
        <v>2319</v>
      </c>
      <c r="K92" s="455">
        <v>1784</v>
      </c>
      <c r="L92" s="134"/>
      <c r="M92" s="135">
        <v>782.2</v>
      </c>
      <c r="N92" s="46">
        <v>896</v>
      </c>
      <c r="O92" s="10">
        <v>0.3</v>
      </c>
      <c r="P92" s="11">
        <v>0.1</v>
      </c>
      <c r="Q92" s="9">
        <v>0.04</v>
      </c>
      <c r="S92" s="69"/>
    </row>
    <row r="93" spans="1:19" ht="30" customHeight="1" thickBot="1">
      <c r="A93" s="599"/>
      <c r="B93" s="338"/>
      <c r="C93" s="588"/>
      <c r="D93" s="153"/>
      <c r="E93" s="491"/>
      <c r="F93" s="496">
        <v>80</v>
      </c>
      <c r="G93" s="562">
        <v>10.75</v>
      </c>
      <c r="H93" s="534">
        <v>1973</v>
      </c>
      <c r="I93" s="40">
        <v>10</v>
      </c>
      <c r="J93" s="875">
        <f>ROUND(K93+K93*O93,0)</f>
        <v>2605</v>
      </c>
      <c r="K93" s="865">
        <v>2004</v>
      </c>
      <c r="L93" s="134"/>
      <c r="M93" s="135">
        <v>879.66</v>
      </c>
      <c r="N93" s="43">
        <v>1008</v>
      </c>
      <c r="O93" s="10">
        <v>0.3</v>
      </c>
      <c r="P93" s="11">
        <v>0.1</v>
      </c>
      <c r="Q93" s="9">
        <v>0.04</v>
      </c>
      <c r="S93" s="69"/>
    </row>
    <row r="94" spans="1:19" s="74" customFormat="1" ht="30" customHeight="1">
      <c r="A94" s="599"/>
      <c r="B94" s="341"/>
      <c r="C94" s="587" t="s">
        <v>112</v>
      </c>
      <c r="D94" s="100" t="s">
        <v>78</v>
      </c>
      <c r="E94" s="491"/>
      <c r="F94" s="494">
        <v>60</v>
      </c>
      <c r="G94" s="548">
        <v>12.9</v>
      </c>
      <c r="H94" s="531">
        <v>1777</v>
      </c>
      <c r="I94" s="112">
        <v>11</v>
      </c>
      <c r="J94" s="874">
        <f>ROUND(K94+K94*O94,0)</f>
        <v>2319</v>
      </c>
      <c r="K94" s="455">
        <v>1784</v>
      </c>
      <c r="L94" s="134"/>
      <c r="M94" s="135"/>
      <c r="N94" s="46">
        <v>896</v>
      </c>
      <c r="O94" s="88">
        <v>0.3</v>
      </c>
      <c r="P94" s="89">
        <v>0.1</v>
      </c>
      <c r="Q94" s="87">
        <v>0.04</v>
      </c>
      <c r="S94" s="139"/>
    </row>
    <row r="95" spans="1:19" s="74" customFormat="1" ht="30" customHeight="1" thickBot="1">
      <c r="A95" s="599"/>
      <c r="B95" s="338"/>
      <c r="C95" s="588"/>
      <c r="D95" s="153"/>
      <c r="E95" s="491"/>
      <c r="F95" s="496">
        <v>80</v>
      </c>
      <c r="G95" s="562">
        <v>10.75</v>
      </c>
      <c r="H95" s="534">
        <v>1973</v>
      </c>
      <c r="I95" s="40">
        <v>10</v>
      </c>
      <c r="J95" s="875">
        <f>ROUND(K95+K95*O95,0)</f>
        <v>2605</v>
      </c>
      <c r="K95" s="865">
        <v>2004</v>
      </c>
      <c r="L95" s="134"/>
      <c r="M95" s="135"/>
      <c r="N95" s="43">
        <v>1008</v>
      </c>
      <c r="O95" s="88">
        <v>0.3</v>
      </c>
      <c r="P95" s="89">
        <v>0.1</v>
      </c>
      <c r="Q95" s="87">
        <v>0.04</v>
      </c>
      <c r="S95" s="139"/>
    </row>
    <row r="96" spans="1:19" s="74" customFormat="1" ht="30" customHeight="1">
      <c r="A96" s="599"/>
      <c r="B96" s="465"/>
      <c r="C96" s="587" t="s">
        <v>166</v>
      </c>
      <c r="D96" s="100" t="s">
        <v>78</v>
      </c>
      <c r="E96" s="491"/>
      <c r="F96" s="494">
        <v>60</v>
      </c>
      <c r="G96" s="548">
        <v>12.9</v>
      </c>
      <c r="H96" s="531">
        <v>1777</v>
      </c>
      <c r="I96" s="112">
        <v>11</v>
      </c>
      <c r="J96" s="874">
        <f>ROUND(K96+K96*O96,0)</f>
        <v>2319</v>
      </c>
      <c r="K96" s="455">
        <v>1784</v>
      </c>
      <c r="L96" s="134"/>
      <c r="M96" s="135"/>
      <c r="N96" s="46"/>
      <c r="O96" s="88">
        <v>0.3</v>
      </c>
      <c r="P96" s="89">
        <v>0.1</v>
      </c>
      <c r="Q96" s="87">
        <v>0.04</v>
      </c>
      <c r="S96" s="139"/>
    </row>
    <row r="97" spans="1:19" s="74" customFormat="1" ht="30" customHeight="1" thickBot="1">
      <c r="A97" s="599"/>
      <c r="B97" s="465"/>
      <c r="C97" s="588"/>
      <c r="D97" s="280"/>
      <c r="E97" s="491"/>
      <c r="F97" s="496">
        <v>80</v>
      </c>
      <c r="G97" s="562">
        <v>10.75</v>
      </c>
      <c r="H97" s="534">
        <v>1973</v>
      </c>
      <c r="I97" s="40">
        <v>10</v>
      </c>
      <c r="J97" s="875">
        <f>ROUND(K97+K97*O97,0)</f>
        <v>2605</v>
      </c>
      <c r="K97" s="865">
        <v>2004</v>
      </c>
      <c r="L97" s="134"/>
      <c r="M97" s="135"/>
      <c r="N97" s="46"/>
      <c r="O97" s="88">
        <v>0.3</v>
      </c>
      <c r="P97" s="89">
        <v>0.1</v>
      </c>
      <c r="Q97" s="87">
        <v>0.04</v>
      </c>
      <c r="S97" s="139"/>
    </row>
    <row r="98" spans="1:19" s="74" customFormat="1" ht="30" customHeight="1">
      <c r="A98" s="599"/>
      <c r="B98" s="341"/>
      <c r="C98" s="587" t="s">
        <v>133</v>
      </c>
      <c r="D98" s="100"/>
      <c r="E98" s="491"/>
      <c r="F98" s="494">
        <v>60</v>
      </c>
      <c r="G98" s="548">
        <v>12.9</v>
      </c>
      <c r="H98" s="531">
        <v>1777</v>
      </c>
      <c r="I98" s="112">
        <v>11</v>
      </c>
      <c r="J98" s="874">
        <f>ROUND(K98+K98*O98,0)</f>
        <v>2319</v>
      </c>
      <c r="K98" s="455">
        <v>1784</v>
      </c>
      <c r="L98" s="134"/>
      <c r="M98" s="135"/>
      <c r="N98" s="46">
        <v>896</v>
      </c>
      <c r="O98" s="88">
        <v>0.3</v>
      </c>
      <c r="P98" s="89">
        <v>0.1</v>
      </c>
      <c r="Q98" s="87">
        <v>0.04</v>
      </c>
      <c r="S98" s="139"/>
    </row>
    <row r="99" spans="1:19" s="74" customFormat="1" ht="30" customHeight="1" thickBot="1">
      <c r="A99" s="599"/>
      <c r="B99" s="338"/>
      <c r="C99" s="588"/>
      <c r="D99" s="153"/>
      <c r="E99" s="491"/>
      <c r="F99" s="496">
        <v>80</v>
      </c>
      <c r="G99" s="562">
        <v>10.75</v>
      </c>
      <c r="H99" s="534">
        <v>1973</v>
      </c>
      <c r="I99" s="40">
        <v>10</v>
      </c>
      <c r="J99" s="875">
        <f>ROUND(K99+K99*O99,0)</f>
        <v>2605</v>
      </c>
      <c r="K99" s="865">
        <v>2004</v>
      </c>
      <c r="L99" s="134"/>
      <c r="M99" s="135"/>
      <c r="N99" s="43">
        <v>1008</v>
      </c>
      <c r="O99" s="88">
        <v>0.3</v>
      </c>
      <c r="P99" s="89">
        <v>0.1</v>
      </c>
      <c r="Q99" s="87">
        <v>0.04</v>
      </c>
      <c r="S99" s="139"/>
    </row>
    <row r="100" spans="1:19" ht="30" customHeight="1">
      <c r="A100" s="599"/>
      <c r="B100" s="334"/>
      <c r="C100" s="591" t="s">
        <v>95</v>
      </c>
      <c r="D100" s="192"/>
      <c r="E100" s="491"/>
      <c r="F100" s="494">
        <v>60</v>
      </c>
      <c r="G100" s="548">
        <v>12.9</v>
      </c>
      <c r="H100" s="531">
        <v>1777</v>
      </c>
      <c r="I100" s="112">
        <v>11</v>
      </c>
      <c r="J100" s="874">
        <f>ROUND(K100+K100*O100,0)</f>
        <v>2319</v>
      </c>
      <c r="K100" s="455">
        <v>1784</v>
      </c>
      <c r="L100" s="134"/>
      <c r="M100" s="135">
        <v>782.2</v>
      </c>
      <c r="N100" s="46">
        <v>896</v>
      </c>
      <c r="O100" s="88">
        <v>0.3</v>
      </c>
      <c r="P100" s="89">
        <v>0.1</v>
      </c>
      <c r="Q100" s="87">
        <v>0.04</v>
      </c>
      <c r="S100" s="69"/>
    </row>
    <row r="101" spans="1:19" ht="30" customHeight="1" thickBot="1">
      <c r="A101" s="600"/>
      <c r="B101" s="208"/>
      <c r="C101" s="588"/>
      <c r="D101" s="153"/>
      <c r="E101" s="492"/>
      <c r="F101" s="496">
        <v>80</v>
      </c>
      <c r="G101" s="562">
        <v>10.75</v>
      </c>
      <c r="H101" s="534">
        <v>1973</v>
      </c>
      <c r="I101" s="40">
        <v>10</v>
      </c>
      <c r="J101" s="875">
        <f>ROUND(K101+K101*O101,0)</f>
        <v>2605</v>
      </c>
      <c r="K101" s="865">
        <v>2004</v>
      </c>
      <c r="L101" s="134"/>
      <c r="M101" s="135">
        <v>879.66</v>
      </c>
      <c r="N101" s="43">
        <v>1008</v>
      </c>
      <c r="O101" s="88">
        <v>0.3</v>
      </c>
      <c r="P101" s="89">
        <v>0.1</v>
      </c>
      <c r="Q101" s="87">
        <v>0.04</v>
      </c>
      <c r="S101" s="69"/>
    </row>
    <row r="102" spans="1:19" s="74" customFormat="1" ht="19.8" customHeight="1" thickBot="1">
      <c r="A102" s="603" t="s">
        <v>191</v>
      </c>
      <c r="B102" s="604"/>
      <c r="C102" s="604"/>
      <c r="D102" s="604"/>
      <c r="E102" s="604"/>
      <c r="F102" s="604"/>
      <c r="G102" s="604"/>
      <c r="H102" s="604"/>
      <c r="I102" s="604"/>
      <c r="J102" s="876"/>
      <c r="K102" s="604"/>
      <c r="L102" s="134"/>
      <c r="M102" s="135"/>
      <c r="N102" s="46"/>
      <c r="O102" s="88"/>
      <c r="P102" s="89"/>
      <c r="Q102" s="87"/>
      <c r="S102" s="139"/>
    </row>
    <row r="103" spans="1:19" s="74" customFormat="1" ht="56.4" customHeight="1" thickBot="1">
      <c r="A103" s="598">
        <v>12</v>
      </c>
      <c r="B103" s="469"/>
      <c r="C103" s="470" t="s">
        <v>6</v>
      </c>
      <c r="D103" s="36"/>
      <c r="E103" s="490" t="s">
        <v>21</v>
      </c>
      <c r="F103" s="494">
        <v>60</v>
      </c>
      <c r="G103" s="548">
        <v>12.9</v>
      </c>
      <c r="H103" s="531">
        <v>1777</v>
      </c>
      <c r="I103" s="566">
        <v>11</v>
      </c>
      <c r="J103" s="873">
        <f>ROUND(K103+K103*O103,0)</f>
        <v>1286</v>
      </c>
      <c r="K103" s="864">
        <v>1169</v>
      </c>
      <c r="L103" s="134"/>
      <c r="M103" s="135"/>
      <c r="N103" s="46"/>
      <c r="O103" s="471">
        <v>0.1</v>
      </c>
      <c r="P103" s="89">
        <v>0.03</v>
      </c>
      <c r="Q103" s="87">
        <v>0.02</v>
      </c>
      <c r="S103" s="139"/>
    </row>
    <row r="104" spans="1:19" ht="16.5" customHeight="1" thickBot="1">
      <c r="A104" s="513" t="s">
        <v>192</v>
      </c>
      <c r="B104" s="514"/>
      <c r="C104" s="514"/>
      <c r="D104" s="514"/>
      <c r="E104" s="514"/>
      <c r="F104" s="514"/>
      <c r="G104" s="514"/>
      <c r="H104" s="514"/>
      <c r="I104" s="514"/>
      <c r="J104" s="877"/>
      <c r="K104" s="626"/>
      <c r="L104" s="134"/>
      <c r="M104" s="135">
        <v>0</v>
      </c>
      <c r="N104" s="17"/>
      <c r="O104" s="10" t="e">
        <v>#DIV/0!</v>
      </c>
      <c r="P104" s="11" t="e">
        <v>#DIV/0!</v>
      </c>
      <c r="Q104" s="9" t="e">
        <v>#DIV/0!</v>
      </c>
      <c r="S104" s="69"/>
    </row>
    <row r="105" spans="1:19" ht="45.75" customHeight="1" thickBot="1">
      <c r="A105" s="598">
        <v>12</v>
      </c>
      <c r="B105" s="190"/>
      <c r="C105" s="150" t="s">
        <v>100</v>
      </c>
      <c r="D105" s="100" t="s">
        <v>78</v>
      </c>
      <c r="E105" s="490" t="s">
        <v>58</v>
      </c>
      <c r="F105" s="490">
        <v>40</v>
      </c>
      <c r="G105" s="332">
        <v>20.74</v>
      </c>
      <c r="H105" s="145">
        <v>1903</v>
      </c>
      <c r="I105" s="454">
        <v>10</v>
      </c>
      <c r="J105" s="878">
        <f>ROUND(K105*1.3,0)</f>
        <v>1892</v>
      </c>
      <c r="K105" s="866">
        <v>1455</v>
      </c>
      <c r="L105" s="134"/>
      <c r="M105" s="135"/>
      <c r="N105" s="38"/>
      <c r="O105" s="88">
        <v>0.3</v>
      </c>
      <c r="P105" s="89">
        <v>0.1</v>
      </c>
      <c r="Q105" s="87">
        <v>0.04</v>
      </c>
      <c r="R105" s="74"/>
      <c r="S105" s="139">
        <f>939*1.1</f>
        <v>1032.9000000000001</v>
      </c>
    </row>
    <row r="106" spans="1:19" ht="45.75" customHeight="1" thickBot="1">
      <c r="A106" s="599"/>
      <c r="B106" s="190"/>
      <c r="C106" s="468" t="s">
        <v>101</v>
      </c>
      <c r="D106" s="100" t="s">
        <v>78</v>
      </c>
      <c r="E106" s="491"/>
      <c r="F106" s="491"/>
      <c r="G106" s="332">
        <v>20.74</v>
      </c>
      <c r="H106" s="145">
        <v>1903</v>
      </c>
      <c r="I106" s="454">
        <v>10</v>
      </c>
      <c r="J106" s="878">
        <f>ROUND(K106*1.3,0)</f>
        <v>1892</v>
      </c>
      <c r="K106" s="866">
        <v>1455</v>
      </c>
      <c r="L106" s="134"/>
      <c r="M106" s="135"/>
      <c r="N106" s="38"/>
      <c r="O106" s="88">
        <v>0.3</v>
      </c>
      <c r="P106" s="89">
        <v>0.1</v>
      </c>
      <c r="Q106" s="87">
        <v>0.04</v>
      </c>
      <c r="R106" s="74"/>
      <c r="S106" s="139">
        <f>939*1.1</f>
        <v>1032.9000000000001</v>
      </c>
    </row>
    <row r="107" spans="1:19" ht="45.75" customHeight="1" thickBot="1">
      <c r="A107" s="599"/>
      <c r="B107" s="190"/>
      <c r="C107" s="468" t="s">
        <v>92</v>
      </c>
      <c r="D107" s="100" t="s">
        <v>78</v>
      </c>
      <c r="E107" s="491"/>
      <c r="F107" s="491"/>
      <c r="G107" s="332">
        <v>20.74</v>
      </c>
      <c r="H107" s="145">
        <v>1903</v>
      </c>
      <c r="I107" s="454">
        <v>10</v>
      </c>
      <c r="J107" s="878">
        <f>ROUND(K107*1.3,0)</f>
        <v>1892</v>
      </c>
      <c r="K107" s="866">
        <v>1455</v>
      </c>
      <c r="L107" s="134"/>
      <c r="M107" s="135"/>
      <c r="N107" s="38"/>
      <c r="O107" s="88">
        <v>0.3</v>
      </c>
      <c r="P107" s="89">
        <v>0.1</v>
      </c>
      <c r="Q107" s="87">
        <v>0.04</v>
      </c>
      <c r="R107" s="74"/>
      <c r="S107" s="139">
        <f>939*1.1</f>
        <v>1032.9000000000001</v>
      </c>
    </row>
    <row r="108" spans="1:19" s="74" customFormat="1" ht="45.75" customHeight="1" thickBot="1">
      <c r="A108" s="599"/>
      <c r="B108" s="161"/>
      <c r="C108" s="468" t="s">
        <v>154</v>
      </c>
      <c r="D108" s="100" t="s">
        <v>78</v>
      </c>
      <c r="E108" s="491"/>
      <c r="F108" s="491"/>
      <c r="G108" s="332">
        <v>20.74</v>
      </c>
      <c r="H108" s="145">
        <v>1903</v>
      </c>
      <c r="I108" s="454">
        <v>10</v>
      </c>
      <c r="J108" s="878">
        <f>ROUND(K108*1.3,0)</f>
        <v>1892</v>
      </c>
      <c r="K108" s="866">
        <v>1455</v>
      </c>
      <c r="L108" s="134"/>
      <c r="M108" s="135"/>
      <c r="N108" s="38"/>
      <c r="O108" s="88">
        <v>0.3</v>
      </c>
      <c r="P108" s="89">
        <v>0.1</v>
      </c>
      <c r="Q108" s="87">
        <v>0.04</v>
      </c>
      <c r="S108" s="139"/>
    </row>
    <row r="109" spans="1:19" ht="46.5" customHeight="1" thickBot="1">
      <c r="A109" s="599"/>
      <c r="B109" s="161"/>
      <c r="C109" s="468" t="s">
        <v>68</v>
      </c>
      <c r="D109" s="467" t="s">
        <v>78</v>
      </c>
      <c r="E109" s="491"/>
      <c r="F109" s="491"/>
      <c r="G109" s="332">
        <v>20.74</v>
      </c>
      <c r="H109" s="145">
        <v>1903</v>
      </c>
      <c r="I109" s="454">
        <v>10</v>
      </c>
      <c r="J109" s="878">
        <f>ROUND(K109*1.3,0)</f>
        <v>1892</v>
      </c>
      <c r="K109" s="866">
        <v>1455</v>
      </c>
      <c r="L109" s="134"/>
      <c r="M109" s="135">
        <v>782.2</v>
      </c>
      <c r="N109" s="41">
        <v>896</v>
      </c>
      <c r="O109" s="88">
        <v>0.3</v>
      </c>
      <c r="P109" s="89">
        <v>0.1</v>
      </c>
      <c r="Q109" s="87">
        <v>0.04</v>
      </c>
      <c r="S109" s="69">
        <f>939*1.1</f>
        <v>1032.9000000000001</v>
      </c>
    </row>
    <row r="110" spans="1:19" s="74" customFormat="1" ht="46.5" customHeight="1" thickBot="1">
      <c r="A110" s="599"/>
      <c r="B110" s="466"/>
      <c r="C110" s="468" t="s">
        <v>173</v>
      </c>
      <c r="D110" s="467" t="s">
        <v>78</v>
      </c>
      <c r="E110" s="491"/>
      <c r="F110" s="491"/>
      <c r="G110" s="332">
        <v>20.74</v>
      </c>
      <c r="H110" s="145">
        <v>1903</v>
      </c>
      <c r="I110" s="454">
        <v>10</v>
      </c>
      <c r="J110" s="878">
        <f>ROUND(K110*1.3,0)</f>
        <v>1892</v>
      </c>
      <c r="K110" s="866">
        <v>1455</v>
      </c>
      <c r="L110" s="134"/>
      <c r="M110" s="135"/>
      <c r="N110" s="46"/>
      <c r="O110" s="88"/>
      <c r="P110" s="89"/>
      <c r="Q110" s="87"/>
      <c r="S110" s="139"/>
    </row>
    <row r="111" spans="1:19" s="74" customFormat="1" ht="46.5" customHeight="1" thickBot="1">
      <c r="A111" s="600"/>
      <c r="B111" s="466"/>
      <c r="C111" s="151" t="s">
        <v>166</v>
      </c>
      <c r="D111" s="467" t="s">
        <v>78</v>
      </c>
      <c r="E111" s="492"/>
      <c r="F111" s="492"/>
      <c r="G111" s="332">
        <v>20.74</v>
      </c>
      <c r="H111" s="145">
        <v>1903</v>
      </c>
      <c r="I111" s="454">
        <v>10</v>
      </c>
      <c r="J111" s="878">
        <f>ROUND(K111*1.3,0)</f>
        <v>1892</v>
      </c>
      <c r="K111" s="866">
        <v>1455</v>
      </c>
      <c r="L111" s="134"/>
      <c r="M111" s="135"/>
      <c r="N111" s="46"/>
      <c r="O111" s="88">
        <v>0.3</v>
      </c>
      <c r="P111" s="89">
        <v>0.1</v>
      </c>
      <c r="Q111" s="87">
        <v>0.04</v>
      </c>
      <c r="S111" s="139"/>
    </row>
    <row r="112" spans="1:19" ht="17.25" customHeight="1" thickBot="1">
      <c r="A112" s="641" t="s">
        <v>193</v>
      </c>
      <c r="B112" s="642"/>
      <c r="C112" s="642"/>
      <c r="D112" s="642"/>
      <c r="E112" s="642"/>
      <c r="F112" s="642"/>
      <c r="G112" s="642"/>
      <c r="H112" s="642"/>
      <c r="I112" s="642"/>
      <c r="J112" s="643"/>
      <c r="K112" s="867"/>
      <c r="L112" s="134"/>
      <c r="M112" s="135"/>
      <c r="N112" s="46"/>
      <c r="O112" s="10"/>
      <c r="P112" s="89"/>
      <c r="Q112" s="9"/>
      <c r="S112" s="69"/>
    </row>
    <row r="113" spans="1:19" ht="50.25" customHeight="1" thickBot="1">
      <c r="A113" s="537">
        <v>13</v>
      </c>
      <c r="B113" s="257"/>
      <c r="C113" s="150" t="s">
        <v>101</v>
      </c>
      <c r="D113" s="95" t="s">
        <v>78</v>
      </c>
      <c r="E113" s="623" t="s">
        <v>122</v>
      </c>
      <c r="F113" s="490">
        <v>60</v>
      </c>
      <c r="G113" s="358">
        <v>13.18</v>
      </c>
      <c r="H113" s="141">
        <v>1815</v>
      </c>
      <c r="I113" s="142">
        <v>11</v>
      </c>
      <c r="J113" s="878">
        <f>ROUND(K113*1.3,0)</f>
        <v>2387</v>
      </c>
      <c r="K113" s="866">
        <v>1836</v>
      </c>
      <c r="L113" s="134"/>
      <c r="M113" s="135"/>
      <c r="N113" s="46"/>
      <c r="O113" s="10"/>
      <c r="P113" s="11"/>
      <c r="Q113" s="9"/>
      <c r="S113" s="69">
        <f>967*1.1</f>
        <v>1063.7</v>
      </c>
    </row>
    <row r="114" spans="1:19" ht="49.5" customHeight="1" thickBot="1">
      <c r="A114" s="539"/>
      <c r="B114" s="258"/>
      <c r="C114" s="151" t="s">
        <v>92</v>
      </c>
      <c r="D114" s="95"/>
      <c r="E114" s="624"/>
      <c r="F114" s="492"/>
      <c r="G114" s="359">
        <v>13.18</v>
      </c>
      <c r="H114" s="143">
        <v>1815</v>
      </c>
      <c r="I114" s="144">
        <v>11</v>
      </c>
      <c r="J114" s="878">
        <f>ROUND(K114*1.3,0)</f>
        <v>2387</v>
      </c>
      <c r="K114" s="866">
        <v>1836</v>
      </c>
      <c r="L114" s="134"/>
      <c r="M114" s="135"/>
      <c r="N114" s="46"/>
      <c r="O114" s="10"/>
      <c r="P114" s="11"/>
      <c r="Q114" s="9"/>
      <c r="S114" s="69"/>
    </row>
    <row r="115" spans="1:19" s="74" customFormat="1" ht="25.2" customHeight="1" thickBot="1">
      <c r="A115" s="603" t="s">
        <v>194</v>
      </c>
      <c r="B115" s="604"/>
      <c r="C115" s="604"/>
      <c r="D115" s="604"/>
      <c r="E115" s="604"/>
      <c r="F115" s="493"/>
      <c r="G115" s="493"/>
      <c r="H115" s="493"/>
      <c r="I115" s="493"/>
      <c r="J115" s="879"/>
      <c r="K115" s="493"/>
      <c r="L115" s="134"/>
      <c r="M115" s="135"/>
      <c r="N115" s="46"/>
      <c r="O115" s="88"/>
      <c r="P115" s="89"/>
      <c r="Q115" s="87"/>
      <c r="S115" s="139"/>
    </row>
    <row r="116" spans="1:19" s="74" customFormat="1" ht="49.5" customHeight="1" thickBot="1">
      <c r="A116" s="598">
        <v>14</v>
      </c>
      <c r="B116" s="311"/>
      <c r="C116" s="150" t="s">
        <v>101</v>
      </c>
      <c r="D116" s="95" t="s">
        <v>78</v>
      </c>
      <c r="E116" s="614" t="s">
        <v>155</v>
      </c>
      <c r="F116" s="581">
        <v>60</v>
      </c>
      <c r="G116" s="489">
        <v>12.9</v>
      </c>
      <c r="H116" s="489">
        <v>1761</v>
      </c>
      <c r="I116" s="489">
        <v>11</v>
      </c>
      <c r="J116" s="878">
        <f>ROUND(K116*1.3,0)</f>
        <v>2319</v>
      </c>
      <c r="K116" s="868">
        <v>1784</v>
      </c>
      <c r="L116" s="134"/>
      <c r="M116" s="135"/>
      <c r="N116" s="46"/>
      <c r="O116" s="88"/>
      <c r="P116" s="89"/>
      <c r="Q116" s="87"/>
      <c r="S116" s="139"/>
    </row>
    <row r="117" spans="1:19" s="74" customFormat="1" ht="49.5" customHeight="1" thickBot="1">
      <c r="A117" s="599"/>
      <c r="B117" s="676"/>
      <c r="C117" s="71" t="s">
        <v>91</v>
      </c>
      <c r="D117" s="95" t="s">
        <v>78</v>
      </c>
      <c r="E117" s="615"/>
      <c r="F117" s="582"/>
      <c r="G117" s="489">
        <v>12.9</v>
      </c>
      <c r="H117" s="489">
        <v>1761</v>
      </c>
      <c r="I117" s="489">
        <v>11</v>
      </c>
      <c r="J117" s="878">
        <f>ROUND(K117*1.3,0)</f>
        <v>2319</v>
      </c>
      <c r="K117" s="868">
        <v>1784</v>
      </c>
      <c r="L117" s="134"/>
      <c r="M117" s="135"/>
      <c r="N117" s="46"/>
      <c r="O117" s="88"/>
      <c r="P117" s="89"/>
      <c r="Q117" s="87"/>
      <c r="S117" s="139"/>
    </row>
    <row r="118" spans="1:19" s="74" customFormat="1" ht="49.5" customHeight="1" thickBot="1">
      <c r="A118" s="599"/>
      <c r="B118" s="676"/>
      <c r="C118" s="72" t="s">
        <v>85</v>
      </c>
      <c r="D118" s="95" t="s">
        <v>78</v>
      </c>
      <c r="E118" s="615"/>
      <c r="F118" s="639"/>
      <c r="G118" s="489">
        <v>12.9</v>
      </c>
      <c r="H118" s="489">
        <v>1761</v>
      </c>
      <c r="I118" s="489">
        <v>11</v>
      </c>
      <c r="J118" s="878">
        <f>ROUND(K118*1.3,0)</f>
        <v>2319</v>
      </c>
      <c r="K118" s="868">
        <v>1784</v>
      </c>
      <c r="L118" s="134"/>
      <c r="M118" s="135"/>
      <c r="N118" s="46"/>
      <c r="O118" s="88"/>
      <c r="P118" s="89"/>
      <c r="Q118" s="87"/>
      <c r="S118" s="139"/>
    </row>
    <row r="119" spans="1:19" s="74" customFormat="1" ht="49.5" customHeight="1" thickBot="1">
      <c r="A119" s="600"/>
      <c r="B119" s="676"/>
      <c r="C119" s="72" t="s">
        <v>131</v>
      </c>
      <c r="D119" s="153" t="s">
        <v>78</v>
      </c>
      <c r="E119" s="616"/>
      <c r="F119" s="583"/>
      <c r="G119" s="489">
        <v>12.9</v>
      </c>
      <c r="H119" s="489">
        <v>1761</v>
      </c>
      <c r="I119" s="489">
        <v>11</v>
      </c>
      <c r="J119" s="878">
        <f>ROUND(K119*1.3,0)</f>
        <v>2319</v>
      </c>
      <c r="K119" s="868">
        <v>1784</v>
      </c>
      <c r="L119" s="134"/>
      <c r="M119" s="135"/>
      <c r="N119" s="46"/>
      <c r="O119" s="88"/>
      <c r="P119" s="89"/>
      <c r="Q119" s="87"/>
      <c r="S119" s="139"/>
    </row>
    <row r="120" spans="1:19" s="74" customFormat="1" ht="18" customHeight="1" thickBot="1">
      <c r="A120" s="603" t="s">
        <v>195</v>
      </c>
      <c r="B120" s="604"/>
      <c r="C120" s="604"/>
      <c r="D120" s="604"/>
      <c r="E120" s="604"/>
      <c r="F120" s="606"/>
      <c r="G120" s="606"/>
      <c r="H120" s="606"/>
      <c r="I120" s="606"/>
      <c r="J120" s="880"/>
      <c r="K120" s="607"/>
      <c r="L120" s="134"/>
      <c r="M120" s="135"/>
      <c r="N120" s="46"/>
      <c r="O120" s="88"/>
      <c r="P120" s="89"/>
      <c r="Q120" s="87"/>
      <c r="S120" s="139"/>
    </row>
    <row r="121" spans="1:19" s="74" customFormat="1" ht="49.95" customHeight="1" thickBot="1">
      <c r="A121" s="537">
        <v>15</v>
      </c>
      <c r="B121" s="420"/>
      <c r="C121" s="508" t="s">
        <v>86</v>
      </c>
      <c r="D121" s="100"/>
      <c r="E121" s="494" t="s">
        <v>40</v>
      </c>
      <c r="F121" s="360">
        <v>60</v>
      </c>
      <c r="G121" s="515">
        <v>12.24</v>
      </c>
      <c r="H121" s="515">
        <v>1650</v>
      </c>
      <c r="I121" s="515">
        <v>12</v>
      </c>
      <c r="J121" s="873">
        <f>ROUND(K121*1.3,0)</f>
        <v>2319</v>
      </c>
      <c r="K121" s="864">
        <v>1784</v>
      </c>
      <c r="L121" s="134"/>
      <c r="M121" s="135"/>
      <c r="N121" s="46"/>
      <c r="O121" s="88"/>
      <c r="P121" s="89"/>
      <c r="Q121" s="87"/>
      <c r="S121" s="139"/>
    </row>
    <row r="122" spans="1:19" s="74" customFormat="1" ht="49.95" customHeight="1" thickBot="1">
      <c r="A122" s="538"/>
      <c r="B122" s="458"/>
      <c r="C122" s="509" t="s">
        <v>93</v>
      </c>
      <c r="D122" s="100"/>
      <c r="E122" s="495" t="s">
        <v>40</v>
      </c>
      <c r="F122" s="453">
        <v>60</v>
      </c>
      <c r="G122" s="503">
        <v>12.24</v>
      </c>
      <c r="H122" s="503">
        <v>1650</v>
      </c>
      <c r="I122" s="503">
        <v>12</v>
      </c>
      <c r="J122" s="873">
        <f>ROUND(K122*1.3,0)</f>
        <v>2319</v>
      </c>
      <c r="K122" s="864">
        <v>1784</v>
      </c>
      <c r="L122" s="134"/>
      <c r="M122" s="135"/>
      <c r="N122" s="46"/>
      <c r="O122" s="88"/>
      <c r="P122" s="89"/>
      <c r="Q122" s="87"/>
      <c r="S122" s="139"/>
    </row>
    <row r="123" spans="1:19" s="74" customFormat="1" ht="49.95" customHeight="1" thickBot="1">
      <c r="A123" s="538"/>
      <c r="B123" s="458"/>
      <c r="C123" s="509" t="s">
        <v>85</v>
      </c>
      <c r="D123" s="100"/>
      <c r="E123" s="495" t="s">
        <v>40</v>
      </c>
      <c r="F123" s="453">
        <v>60</v>
      </c>
      <c r="G123" s="503">
        <v>12.24</v>
      </c>
      <c r="H123" s="503">
        <v>1650</v>
      </c>
      <c r="I123" s="503">
        <v>12</v>
      </c>
      <c r="J123" s="873">
        <f>ROUND(K123*1.3,0)</f>
        <v>2319</v>
      </c>
      <c r="K123" s="864">
        <v>1784</v>
      </c>
      <c r="L123" s="134"/>
      <c r="M123" s="135"/>
      <c r="N123" s="46"/>
      <c r="O123" s="88"/>
      <c r="P123" s="89"/>
      <c r="Q123" s="87"/>
      <c r="S123" s="139"/>
    </row>
    <row r="124" spans="1:19" s="74" customFormat="1" ht="49.95" customHeight="1" thickBot="1">
      <c r="A124" s="539"/>
      <c r="B124" s="459"/>
      <c r="C124" s="510" t="s">
        <v>68</v>
      </c>
      <c r="D124" s="100" t="s">
        <v>78</v>
      </c>
      <c r="E124" s="496" t="s">
        <v>40</v>
      </c>
      <c r="F124" s="361">
        <v>60</v>
      </c>
      <c r="G124" s="504">
        <v>12.24</v>
      </c>
      <c r="H124" s="504">
        <v>1650</v>
      </c>
      <c r="I124" s="504">
        <v>12</v>
      </c>
      <c r="J124" s="873">
        <f>ROUND(K124*1.3,0)</f>
        <v>2319</v>
      </c>
      <c r="K124" s="864">
        <v>1784</v>
      </c>
      <c r="L124" s="134"/>
      <c r="M124" s="135"/>
      <c r="N124" s="46"/>
      <c r="O124" s="88"/>
      <c r="P124" s="89"/>
      <c r="Q124" s="87"/>
      <c r="S124" s="139"/>
    </row>
    <row r="125" spans="1:19" ht="15.75" customHeight="1" thickBot="1">
      <c r="A125" s="513" t="s">
        <v>196</v>
      </c>
      <c r="B125" s="514"/>
      <c r="C125" s="514"/>
      <c r="D125" s="514"/>
      <c r="E125" s="514"/>
      <c r="F125" s="514"/>
      <c r="G125" s="514"/>
      <c r="H125" s="514"/>
      <c r="I125" s="514"/>
      <c r="J125" s="881"/>
      <c r="K125" s="584"/>
      <c r="L125" s="134"/>
      <c r="M125" s="135">
        <v>0</v>
      </c>
      <c r="N125" s="50"/>
      <c r="O125" s="10" t="e">
        <v>#DIV/0!</v>
      </c>
      <c r="P125" s="11" t="e">
        <v>#DIV/0!</v>
      </c>
      <c r="Q125" s="9" t="e">
        <v>#DIV/0!</v>
      </c>
      <c r="R125" s="267"/>
      <c r="S125" s="69"/>
    </row>
    <row r="126" spans="1:19" ht="19.5" customHeight="1" thickBot="1">
      <c r="A126" s="538">
        <v>16</v>
      </c>
      <c r="B126" s="627"/>
      <c r="C126" s="628" t="s">
        <v>6</v>
      </c>
      <c r="D126" s="189" t="s">
        <v>78</v>
      </c>
      <c r="E126" s="494" t="s">
        <v>42</v>
      </c>
      <c r="F126" s="115">
        <v>40</v>
      </c>
      <c r="G126" s="115">
        <v>19.440000000000001</v>
      </c>
      <c r="H126" s="115">
        <v>1781</v>
      </c>
      <c r="I126" s="115">
        <v>11</v>
      </c>
      <c r="J126" s="874">
        <f>ROUND(K126+K126*O126,0)</f>
        <v>1079</v>
      </c>
      <c r="K126" s="455">
        <v>981</v>
      </c>
      <c r="L126" s="134"/>
      <c r="M126" s="135">
        <v>361.02</v>
      </c>
      <c r="N126" s="15">
        <v>406</v>
      </c>
      <c r="O126" s="10">
        <v>0.1</v>
      </c>
      <c r="P126" s="11">
        <v>0.03</v>
      </c>
      <c r="Q126" s="9">
        <v>0.02</v>
      </c>
      <c r="S126" s="69">
        <f>434*1.1</f>
        <v>477.40000000000003</v>
      </c>
    </row>
    <row r="127" spans="1:19" ht="19.5" customHeight="1" thickBot="1">
      <c r="A127" s="538"/>
      <c r="B127" s="627"/>
      <c r="C127" s="628"/>
      <c r="D127" s="260" t="s">
        <v>78</v>
      </c>
      <c r="E127" s="495"/>
      <c r="F127" s="115">
        <v>60</v>
      </c>
      <c r="G127" s="115">
        <v>12.96</v>
      </c>
      <c r="H127" s="115">
        <v>1785</v>
      </c>
      <c r="I127" s="115">
        <v>11</v>
      </c>
      <c r="J127" s="882">
        <f>ROUND(K127+K127*O127,0)</f>
        <v>1235</v>
      </c>
      <c r="K127" s="456">
        <v>1123</v>
      </c>
      <c r="L127" s="134"/>
      <c r="M127" s="135">
        <v>433.9</v>
      </c>
      <c r="N127" s="15">
        <v>488</v>
      </c>
      <c r="O127" s="10">
        <v>0.1</v>
      </c>
      <c r="P127" s="11">
        <v>0.03</v>
      </c>
      <c r="Q127" s="9">
        <v>0.02</v>
      </c>
      <c r="S127" s="69">
        <f>521*1.1</f>
        <v>573.1</v>
      </c>
    </row>
    <row r="128" spans="1:19" ht="20.25" customHeight="1" thickBot="1">
      <c r="A128" s="538"/>
      <c r="B128" s="627"/>
      <c r="C128" s="628"/>
      <c r="D128" s="346"/>
      <c r="E128" s="496"/>
      <c r="F128" s="115">
        <v>80</v>
      </c>
      <c r="G128" s="115">
        <v>10.8</v>
      </c>
      <c r="H128" s="115">
        <v>1982</v>
      </c>
      <c r="I128" s="115">
        <v>10</v>
      </c>
      <c r="J128" s="875">
        <f>ROUND(K128+K128*O128,0)</f>
        <v>1494</v>
      </c>
      <c r="K128" s="865">
        <v>1358</v>
      </c>
      <c r="L128" s="134"/>
      <c r="M128" s="135">
        <v>523.73</v>
      </c>
      <c r="N128" s="41">
        <v>589</v>
      </c>
      <c r="O128" s="10">
        <v>0.1</v>
      </c>
      <c r="P128" s="11">
        <v>0.03</v>
      </c>
      <c r="Q128" s="9">
        <v>0.02</v>
      </c>
      <c r="S128" s="69">
        <f>629*1.1</f>
        <v>691.90000000000009</v>
      </c>
    </row>
    <row r="129" spans="1:19" s="74" customFormat="1" ht="30.75" customHeight="1" thickBot="1">
      <c r="A129" s="538"/>
      <c r="B129" s="512"/>
      <c r="C129" s="512"/>
      <c r="D129" s="204"/>
      <c r="E129" s="492" t="s">
        <v>20</v>
      </c>
      <c r="F129" s="115">
        <v>70</v>
      </c>
      <c r="G129" s="321">
        <v>12.67</v>
      </c>
      <c r="H129" s="321">
        <v>2046</v>
      </c>
      <c r="I129" s="321">
        <v>9</v>
      </c>
      <c r="J129" s="883">
        <f>K129*1.1</f>
        <v>1351.9</v>
      </c>
      <c r="K129" s="869">
        <v>1229</v>
      </c>
      <c r="L129" s="134"/>
      <c r="M129" s="135"/>
      <c r="N129" s="41"/>
      <c r="O129" s="88"/>
      <c r="P129" s="89"/>
      <c r="Q129" s="87">
        <v>0.02</v>
      </c>
      <c r="S129" s="139"/>
    </row>
    <row r="130" spans="1:19" ht="30" customHeight="1" thickBot="1">
      <c r="A130" s="538"/>
      <c r="B130" s="497"/>
      <c r="C130" s="499" t="s">
        <v>38</v>
      </c>
      <c r="D130" s="189" t="s">
        <v>78</v>
      </c>
      <c r="E130" s="494" t="s">
        <v>42</v>
      </c>
      <c r="F130" s="115">
        <v>40</v>
      </c>
      <c r="G130" s="115">
        <v>19.440000000000001</v>
      </c>
      <c r="H130" s="115">
        <v>1781</v>
      </c>
      <c r="I130" s="115">
        <v>11</v>
      </c>
      <c r="J130" s="874">
        <f>ROUND(K130+K130*O130,0)</f>
        <v>1234</v>
      </c>
      <c r="K130" s="455">
        <v>1073</v>
      </c>
      <c r="L130" s="134"/>
      <c r="M130" s="135">
        <v>407.63</v>
      </c>
      <c r="N130" s="15">
        <v>458</v>
      </c>
      <c r="O130" s="10">
        <v>0.15</v>
      </c>
      <c r="P130" s="11">
        <v>0.05</v>
      </c>
      <c r="Q130" s="9">
        <v>0.03</v>
      </c>
      <c r="S130" s="69">
        <f>490*1.1</f>
        <v>539</v>
      </c>
    </row>
    <row r="131" spans="1:19" ht="30" customHeight="1" thickBot="1">
      <c r="A131" s="538"/>
      <c r="B131" s="498"/>
      <c r="C131" s="500"/>
      <c r="D131" s="260" t="s">
        <v>78</v>
      </c>
      <c r="E131" s="496"/>
      <c r="F131" s="115">
        <v>60</v>
      </c>
      <c r="G131" s="115">
        <v>12.96</v>
      </c>
      <c r="H131" s="115">
        <v>1785</v>
      </c>
      <c r="I131" s="115">
        <v>11</v>
      </c>
      <c r="J131" s="875">
        <f>ROUND(K131+K131*O131,0)</f>
        <v>1440</v>
      </c>
      <c r="K131" s="865">
        <v>1252</v>
      </c>
      <c r="L131" s="134"/>
      <c r="M131" s="135">
        <v>501.69</v>
      </c>
      <c r="N131" s="15">
        <v>564</v>
      </c>
      <c r="O131" s="10">
        <v>0.15</v>
      </c>
      <c r="P131" s="11">
        <v>0.05</v>
      </c>
      <c r="Q131" s="9">
        <v>0.03</v>
      </c>
      <c r="S131" s="69">
        <f>602*1.1</f>
        <v>662.2</v>
      </c>
    </row>
    <row r="132" spans="1:19" ht="30" customHeight="1" thickBot="1">
      <c r="A132" s="538"/>
      <c r="B132" s="423"/>
      <c r="C132" s="501" t="s">
        <v>12</v>
      </c>
      <c r="D132" s="95" t="s">
        <v>78</v>
      </c>
      <c r="E132" s="494" t="s">
        <v>42</v>
      </c>
      <c r="F132" s="115">
        <v>40</v>
      </c>
      <c r="G132" s="115">
        <v>19.440000000000001</v>
      </c>
      <c r="H132" s="115">
        <v>1781</v>
      </c>
      <c r="I132" s="115">
        <v>11</v>
      </c>
      <c r="J132" s="874">
        <f>ROUND(K132+K132*O132,0)</f>
        <v>1234</v>
      </c>
      <c r="K132" s="455">
        <v>1073</v>
      </c>
      <c r="L132" s="134"/>
      <c r="M132" s="135">
        <v>407.63</v>
      </c>
      <c r="N132" s="15">
        <v>458</v>
      </c>
      <c r="O132" s="10">
        <v>0.15</v>
      </c>
      <c r="P132" s="11">
        <v>0.05</v>
      </c>
      <c r="Q132" s="9">
        <v>0.03</v>
      </c>
      <c r="S132" s="139">
        <f>490*1.1</f>
        <v>539</v>
      </c>
    </row>
    <row r="133" spans="1:19" ht="30" customHeight="1" thickBot="1">
      <c r="A133" s="538"/>
      <c r="B133" s="424"/>
      <c r="C133" s="502"/>
      <c r="D133" s="153" t="s">
        <v>78</v>
      </c>
      <c r="E133" s="496"/>
      <c r="F133" s="115">
        <v>60</v>
      </c>
      <c r="G133" s="115">
        <v>12.96</v>
      </c>
      <c r="H133" s="115">
        <v>1785</v>
      </c>
      <c r="I133" s="115">
        <v>11</v>
      </c>
      <c r="J133" s="875">
        <f>ROUND(K133+K133*O133,0)</f>
        <v>1440</v>
      </c>
      <c r="K133" s="865">
        <v>1252</v>
      </c>
      <c r="L133" s="134"/>
      <c r="M133" s="135">
        <v>501.69</v>
      </c>
      <c r="N133" s="15">
        <v>564</v>
      </c>
      <c r="O133" s="10">
        <v>0.15</v>
      </c>
      <c r="P133" s="11">
        <v>0.05</v>
      </c>
      <c r="Q133" s="9">
        <v>0.03</v>
      </c>
      <c r="S133" s="139">
        <f>602*1.1</f>
        <v>662.2</v>
      </c>
    </row>
    <row r="134" spans="1:19" ht="30" customHeight="1" thickBot="1">
      <c r="A134" s="538"/>
      <c r="B134" s="511"/>
      <c r="C134" s="499" t="s">
        <v>13</v>
      </c>
      <c r="D134" s="95"/>
      <c r="E134" s="494" t="s">
        <v>42</v>
      </c>
      <c r="F134" s="115">
        <v>40</v>
      </c>
      <c r="G134" s="115">
        <v>19.440000000000001</v>
      </c>
      <c r="H134" s="115">
        <v>1781</v>
      </c>
      <c r="I134" s="115">
        <v>11</v>
      </c>
      <c r="J134" s="874">
        <f>ROUND(K134+K134*O134,0)</f>
        <v>1234</v>
      </c>
      <c r="K134" s="455">
        <v>1073</v>
      </c>
      <c r="L134" s="134"/>
      <c r="M134" s="135">
        <v>407.63</v>
      </c>
      <c r="N134" s="15">
        <v>485</v>
      </c>
      <c r="O134" s="51">
        <v>0.15</v>
      </c>
      <c r="P134" s="11">
        <v>0.05</v>
      </c>
      <c r="Q134" s="9">
        <v>3.0000000000000027E-2</v>
      </c>
      <c r="S134" s="139">
        <f>490*1.1</f>
        <v>539</v>
      </c>
    </row>
    <row r="135" spans="1:19" ht="30" customHeight="1" thickBot="1">
      <c r="A135" s="538"/>
      <c r="B135" s="512"/>
      <c r="C135" s="500"/>
      <c r="D135" s="153"/>
      <c r="E135" s="496"/>
      <c r="F135" s="115">
        <v>60</v>
      </c>
      <c r="G135" s="115">
        <v>12.96</v>
      </c>
      <c r="H135" s="115">
        <v>1785</v>
      </c>
      <c r="I135" s="115">
        <v>11</v>
      </c>
      <c r="J135" s="875">
        <f>ROUND(K135+K135*O135,0)</f>
        <v>1440</v>
      </c>
      <c r="K135" s="865">
        <v>1252</v>
      </c>
      <c r="L135" s="134"/>
      <c r="M135" s="135">
        <v>501.69</v>
      </c>
      <c r="N135" s="15">
        <v>564</v>
      </c>
      <c r="O135" s="10">
        <v>0.15</v>
      </c>
      <c r="P135" s="11">
        <v>0.05</v>
      </c>
      <c r="Q135" s="9">
        <v>0.03</v>
      </c>
      <c r="S135" s="139">
        <f>602*1.1</f>
        <v>662.2</v>
      </c>
    </row>
    <row r="136" spans="1:19" ht="30" customHeight="1" thickBot="1">
      <c r="A136" s="538"/>
      <c r="B136" s="511"/>
      <c r="C136" s="585" t="s">
        <v>44</v>
      </c>
      <c r="D136" s="189" t="s">
        <v>78</v>
      </c>
      <c r="E136" s="494" t="s">
        <v>42</v>
      </c>
      <c r="F136" s="115">
        <v>40</v>
      </c>
      <c r="G136" s="115">
        <v>19.440000000000001</v>
      </c>
      <c r="H136" s="115">
        <v>1781</v>
      </c>
      <c r="I136" s="115">
        <v>11</v>
      </c>
      <c r="J136" s="874">
        <f>ROUND(K136+K136*O136,0)</f>
        <v>1234</v>
      </c>
      <c r="K136" s="455">
        <v>1073</v>
      </c>
      <c r="L136" s="134"/>
      <c r="M136" s="135">
        <v>407.63</v>
      </c>
      <c r="N136" s="15">
        <v>485</v>
      </c>
      <c r="O136" s="51">
        <v>0.15</v>
      </c>
      <c r="P136" s="11">
        <v>0.05</v>
      </c>
      <c r="Q136" s="9">
        <v>3.0000000000000027E-2</v>
      </c>
      <c r="S136" s="139">
        <f>490*1.1</f>
        <v>539</v>
      </c>
    </row>
    <row r="137" spans="1:19" ht="30" customHeight="1" thickBot="1">
      <c r="A137" s="538"/>
      <c r="B137" s="512"/>
      <c r="C137" s="586"/>
      <c r="D137" s="260" t="s">
        <v>78</v>
      </c>
      <c r="E137" s="496"/>
      <c r="F137" s="115">
        <v>60</v>
      </c>
      <c r="G137" s="115">
        <v>12.96</v>
      </c>
      <c r="H137" s="115">
        <v>1785</v>
      </c>
      <c r="I137" s="115">
        <v>11</v>
      </c>
      <c r="J137" s="875">
        <f>ROUND(K137+K137*O137,0)</f>
        <v>1440</v>
      </c>
      <c r="K137" s="865">
        <v>1252</v>
      </c>
      <c r="L137" s="134"/>
      <c r="M137" s="135">
        <v>501.69</v>
      </c>
      <c r="N137" s="15">
        <v>564</v>
      </c>
      <c r="O137" s="10">
        <v>0.15</v>
      </c>
      <c r="P137" s="11">
        <v>0.05</v>
      </c>
      <c r="Q137" s="9">
        <v>0.03</v>
      </c>
      <c r="S137" s="139">
        <f>602*1.1</f>
        <v>662.2</v>
      </c>
    </row>
    <row r="138" spans="1:19" ht="34.5" customHeight="1" thickBot="1">
      <c r="A138" s="538"/>
      <c r="B138" s="451"/>
      <c r="C138" s="508" t="s">
        <v>101</v>
      </c>
      <c r="D138" s="95" t="s">
        <v>78</v>
      </c>
      <c r="E138" s="494" t="s">
        <v>42</v>
      </c>
      <c r="F138" s="488">
        <v>40</v>
      </c>
      <c r="G138" s="115">
        <v>19.440000000000001</v>
      </c>
      <c r="H138" s="115">
        <v>1781</v>
      </c>
      <c r="I138" s="115">
        <v>11</v>
      </c>
      <c r="J138" s="874">
        <f>ROUND(K138+K138*O138,0)</f>
        <v>1892</v>
      </c>
      <c r="K138" s="455">
        <v>1455</v>
      </c>
      <c r="L138" s="134"/>
      <c r="M138" s="135">
        <v>606.78</v>
      </c>
      <c r="N138" s="15">
        <v>695</v>
      </c>
      <c r="O138" s="10">
        <v>0.3</v>
      </c>
      <c r="P138" s="11">
        <v>0.1</v>
      </c>
      <c r="Q138" s="9">
        <v>0.04</v>
      </c>
      <c r="S138" s="69">
        <f>729*1.1</f>
        <v>801.90000000000009</v>
      </c>
    </row>
    <row r="139" spans="1:19" ht="33.75" customHeight="1" thickBot="1">
      <c r="A139" s="538"/>
      <c r="B139" s="452"/>
      <c r="C139" s="509" t="s">
        <v>86</v>
      </c>
      <c r="D139" s="95" t="s">
        <v>78</v>
      </c>
      <c r="E139" s="495" t="s">
        <v>42</v>
      </c>
      <c r="F139" s="488">
        <v>60</v>
      </c>
      <c r="G139" s="115">
        <v>12.96</v>
      </c>
      <c r="H139" s="115">
        <v>1785</v>
      </c>
      <c r="I139" s="115">
        <v>11</v>
      </c>
      <c r="J139" s="882">
        <f>ROUND(K139+K139*O139,0)</f>
        <v>2319</v>
      </c>
      <c r="K139" s="456">
        <v>1784</v>
      </c>
      <c r="L139" s="134"/>
      <c r="M139" s="135">
        <v>782.2</v>
      </c>
      <c r="N139" s="15">
        <v>896</v>
      </c>
      <c r="O139" s="10">
        <v>0.3</v>
      </c>
      <c r="P139" s="11">
        <v>0.1</v>
      </c>
      <c r="Q139" s="9">
        <v>0.04</v>
      </c>
      <c r="S139" s="69">
        <f>939*1.1</f>
        <v>1032.9000000000001</v>
      </c>
    </row>
    <row r="140" spans="1:19" s="74" customFormat="1" ht="33.75" customHeight="1" thickBot="1">
      <c r="A140" s="538"/>
      <c r="B140" s="482"/>
      <c r="C140" s="508" t="s">
        <v>109</v>
      </c>
      <c r="D140" s="95" t="s">
        <v>78</v>
      </c>
      <c r="E140" s="494" t="s">
        <v>42</v>
      </c>
      <c r="F140" s="360">
        <v>40</v>
      </c>
      <c r="G140" s="494">
        <v>19.440000000000001</v>
      </c>
      <c r="H140" s="494">
        <v>1781</v>
      </c>
      <c r="I140" s="494">
        <v>11</v>
      </c>
      <c r="J140" s="874">
        <f>ROUND(K140+K140*O140,0)</f>
        <v>1892</v>
      </c>
      <c r="K140" s="455">
        <v>1455</v>
      </c>
      <c r="L140" s="134"/>
      <c r="M140" s="135"/>
      <c r="N140" s="15"/>
      <c r="O140" s="88">
        <v>0.3</v>
      </c>
      <c r="P140" s="89">
        <v>0.1</v>
      </c>
      <c r="Q140" s="87"/>
      <c r="S140" s="139"/>
    </row>
    <row r="141" spans="1:19" s="74" customFormat="1" ht="33.75" customHeight="1" thickBot="1">
      <c r="A141" s="538"/>
      <c r="B141" s="482"/>
      <c r="C141" s="508" t="s">
        <v>109</v>
      </c>
      <c r="D141" s="95" t="s">
        <v>78</v>
      </c>
      <c r="E141" s="495" t="s">
        <v>42</v>
      </c>
      <c r="F141" s="453">
        <v>60</v>
      </c>
      <c r="G141" s="495">
        <v>12.96</v>
      </c>
      <c r="H141" s="495">
        <v>1785</v>
      </c>
      <c r="I141" s="495">
        <v>11</v>
      </c>
      <c r="J141" s="882">
        <f>ROUND(K141+K141*O141,0)</f>
        <v>2319</v>
      </c>
      <c r="K141" s="456">
        <v>1784</v>
      </c>
      <c r="L141" s="134"/>
      <c r="M141" s="135"/>
      <c r="N141" s="15"/>
      <c r="O141" s="88">
        <v>0.3</v>
      </c>
      <c r="P141" s="89">
        <v>0.1</v>
      </c>
      <c r="Q141" s="87"/>
      <c r="S141" s="139"/>
    </row>
    <row r="142" spans="1:19" ht="34.5" customHeight="1" thickBot="1">
      <c r="A142" s="538"/>
      <c r="B142" s="451"/>
      <c r="C142" s="508" t="s">
        <v>92</v>
      </c>
      <c r="D142" s="95" t="s">
        <v>78</v>
      </c>
      <c r="E142" s="494" t="s">
        <v>42</v>
      </c>
      <c r="F142" s="360">
        <v>40</v>
      </c>
      <c r="G142" s="494">
        <v>19.440000000000001</v>
      </c>
      <c r="H142" s="494">
        <v>1781</v>
      </c>
      <c r="I142" s="494">
        <v>11</v>
      </c>
      <c r="J142" s="874">
        <f>ROUND(K142+K142*O142,0)</f>
        <v>1892</v>
      </c>
      <c r="K142" s="455">
        <v>1455</v>
      </c>
      <c r="L142" s="134"/>
      <c r="M142" s="135">
        <v>606.78</v>
      </c>
      <c r="N142" s="15">
        <v>695</v>
      </c>
      <c r="O142" s="88">
        <v>0.3</v>
      </c>
      <c r="P142" s="89">
        <v>0.1</v>
      </c>
      <c r="Q142" s="87">
        <v>0.04</v>
      </c>
      <c r="R142" s="74"/>
      <c r="S142" s="139">
        <f>729*1.1</f>
        <v>801.90000000000009</v>
      </c>
    </row>
    <row r="143" spans="1:19" s="74" customFormat="1" ht="34.5" customHeight="1" thickBot="1">
      <c r="A143" s="538"/>
      <c r="B143" s="452"/>
      <c r="C143" s="524" t="s">
        <v>93</v>
      </c>
      <c r="D143" s="485" t="s">
        <v>78</v>
      </c>
      <c r="E143" s="486" t="s">
        <v>42</v>
      </c>
      <c r="F143" s="487">
        <v>60</v>
      </c>
      <c r="G143" s="486">
        <v>12.96</v>
      </c>
      <c r="H143" s="486">
        <v>1785</v>
      </c>
      <c r="I143" s="486">
        <v>11</v>
      </c>
      <c r="J143" s="884">
        <f>ROUND(K143+K143*O143,0)</f>
        <v>2319</v>
      </c>
      <c r="K143" s="456">
        <v>1784</v>
      </c>
      <c r="L143" s="134"/>
      <c r="M143" s="135"/>
      <c r="N143" s="261"/>
      <c r="O143" s="88">
        <v>0.3</v>
      </c>
      <c r="P143" s="89">
        <v>0.1</v>
      </c>
      <c r="Q143" s="87">
        <v>0.04</v>
      </c>
      <c r="S143" s="139">
        <f>939*1.1</f>
        <v>1032.9000000000001</v>
      </c>
    </row>
    <row r="144" spans="1:19" s="74" customFormat="1" ht="34.5" customHeight="1" thickBot="1">
      <c r="A144" s="599"/>
      <c r="B144" s="483"/>
      <c r="C144" s="311" t="s">
        <v>85</v>
      </c>
      <c r="D144" s="36" t="s">
        <v>78</v>
      </c>
      <c r="E144" s="115" t="s">
        <v>42</v>
      </c>
      <c r="F144" s="488">
        <v>60</v>
      </c>
      <c r="G144" s="115">
        <v>12.96</v>
      </c>
      <c r="H144" s="115">
        <v>1785</v>
      </c>
      <c r="I144" s="115">
        <v>11</v>
      </c>
      <c r="J144" s="873">
        <f>ROUND(K144+K144*O144,0)</f>
        <v>2319</v>
      </c>
      <c r="K144" s="864">
        <v>1784</v>
      </c>
      <c r="L144" s="134"/>
      <c r="M144" s="135"/>
      <c r="N144" s="484"/>
      <c r="O144" s="88">
        <v>0.3</v>
      </c>
      <c r="P144" s="89"/>
      <c r="Q144" s="87"/>
      <c r="S144" s="139"/>
    </row>
    <row r="145" spans="1:19" ht="15.9" customHeight="1" thickBot="1">
      <c r="A145" s="513" t="s">
        <v>197</v>
      </c>
      <c r="B145" s="514"/>
      <c r="C145" s="514"/>
      <c r="D145" s="514"/>
      <c r="E145" s="514"/>
      <c r="F145" s="514"/>
      <c r="G145" s="514"/>
      <c r="H145" s="514"/>
      <c r="I145" s="514"/>
      <c r="J145" s="872"/>
      <c r="K145" s="514"/>
      <c r="L145" s="134"/>
      <c r="M145" s="135">
        <v>0</v>
      </c>
      <c r="N145" s="52"/>
      <c r="O145" s="10" t="e">
        <v>#DIV/0!</v>
      </c>
      <c r="P145" s="11" t="e">
        <v>#DIV/0!</v>
      </c>
      <c r="Q145" s="9" t="e">
        <v>#DIV/0!</v>
      </c>
      <c r="S145" s="69"/>
    </row>
    <row r="146" spans="1:19" ht="30" customHeight="1" thickBot="1">
      <c r="A146" s="552">
        <v>17</v>
      </c>
      <c r="B146" s="505"/>
      <c r="C146" s="508" t="s">
        <v>6</v>
      </c>
      <c r="D146" s="95"/>
      <c r="E146" s="669" t="s">
        <v>39</v>
      </c>
      <c r="F146" s="546">
        <v>60</v>
      </c>
      <c r="G146" s="548">
        <v>11.88</v>
      </c>
      <c r="H146" s="531">
        <v>1590</v>
      </c>
      <c r="I146" s="566">
        <v>12</v>
      </c>
      <c r="J146" s="874">
        <f>ROUND(K146+K146*O146,0)</f>
        <v>1235</v>
      </c>
      <c r="K146" s="455">
        <v>1123</v>
      </c>
      <c r="L146" s="134"/>
      <c r="M146" s="135">
        <v>433.9</v>
      </c>
      <c r="N146" s="53">
        <v>488</v>
      </c>
      <c r="O146" s="10">
        <v>0.1</v>
      </c>
      <c r="P146" s="11">
        <v>0.03</v>
      </c>
      <c r="Q146" s="9">
        <v>0.02</v>
      </c>
      <c r="S146" s="69">
        <f>521*1.1</f>
        <v>573.1</v>
      </c>
    </row>
    <row r="147" spans="1:19" ht="30" customHeight="1" thickBot="1">
      <c r="A147" s="554"/>
      <c r="B147" s="506"/>
      <c r="C147" s="509"/>
      <c r="D147" s="98"/>
      <c r="E147" s="122" t="s">
        <v>37</v>
      </c>
      <c r="F147" s="605"/>
      <c r="G147" s="549">
        <v>14.4</v>
      </c>
      <c r="H147" s="533">
        <v>1988</v>
      </c>
      <c r="I147" s="568">
        <v>10</v>
      </c>
      <c r="J147" s="882">
        <f>ROUND(K147+K147*O147,0)</f>
        <v>1235</v>
      </c>
      <c r="K147" s="455">
        <v>1123</v>
      </c>
      <c r="L147" s="134"/>
      <c r="M147" s="135">
        <v>433.9</v>
      </c>
      <c r="N147" s="42">
        <v>488</v>
      </c>
      <c r="O147" s="10">
        <v>0.1</v>
      </c>
      <c r="P147" s="11">
        <v>0.03</v>
      </c>
      <c r="Q147" s="9">
        <v>0.02</v>
      </c>
      <c r="S147" s="69"/>
    </row>
    <row r="148" spans="1:19" ht="30" customHeight="1" thickBot="1">
      <c r="A148" s="538"/>
      <c r="B148" s="600"/>
      <c r="C148" s="510"/>
      <c r="D148" s="260"/>
      <c r="E148" s="276" t="s">
        <v>59</v>
      </c>
      <c r="F148" s="605"/>
      <c r="G148" s="327">
        <v>11.52</v>
      </c>
      <c r="H148" s="160">
        <v>1641</v>
      </c>
      <c r="I148" s="277">
        <v>12</v>
      </c>
      <c r="J148" s="884">
        <f>ROUND(K148+K148*O148,0)</f>
        <v>1235</v>
      </c>
      <c r="K148" s="455">
        <v>1123</v>
      </c>
      <c r="L148" s="134"/>
      <c r="M148" s="135">
        <v>433.9</v>
      </c>
      <c r="N148" s="43">
        <v>488</v>
      </c>
      <c r="O148" s="10">
        <v>0.1</v>
      </c>
      <c r="P148" s="11">
        <v>0.03</v>
      </c>
      <c r="Q148" s="9">
        <v>0.02</v>
      </c>
      <c r="S148" s="69"/>
    </row>
    <row r="149" spans="1:19" ht="28.5" customHeight="1" thickBot="1">
      <c r="A149" s="554"/>
      <c r="B149" s="521"/>
      <c r="C149" s="523" t="s">
        <v>38</v>
      </c>
      <c r="D149" s="100"/>
      <c r="E149" s="669" t="s">
        <v>39</v>
      </c>
      <c r="F149" s="605"/>
      <c r="G149" s="548">
        <v>11.88</v>
      </c>
      <c r="H149" s="531">
        <v>1590</v>
      </c>
      <c r="I149" s="566">
        <v>12</v>
      </c>
      <c r="J149" s="874">
        <f>ROUND(K149+K149*O149,0)</f>
        <v>1440</v>
      </c>
      <c r="K149" s="455">
        <v>1252</v>
      </c>
      <c r="L149" s="134"/>
      <c r="M149" s="135">
        <v>501.69</v>
      </c>
      <c r="N149" s="44">
        <v>564</v>
      </c>
      <c r="O149" s="10">
        <v>0.15</v>
      </c>
      <c r="P149" s="11">
        <v>0.05</v>
      </c>
      <c r="Q149" s="9">
        <v>0.03</v>
      </c>
      <c r="S149" s="69">
        <f>602*1.1</f>
        <v>662.2</v>
      </c>
    </row>
    <row r="150" spans="1:19" ht="28.5" customHeight="1" thickBot="1">
      <c r="A150" s="554"/>
      <c r="B150" s="522"/>
      <c r="C150" s="524"/>
      <c r="D150" s="105"/>
      <c r="E150" s="90" t="s">
        <v>37</v>
      </c>
      <c r="F150" s="605"/>
      <c r="G150" s="562">
        <v>14.4</v>
      </c>
      <c r="H150" s="534">
        <v>1988</v>
      </c>
      <c r="I150" s="569">
        <v>10</v>
      </c>
      <c r="J150" s="875">
        <f>ROUND(K150+K150*O150,0)</f>
        <v>1440</v>
      </c>
      <c r="K150" s="455">
        <v>1252</v>
      </c>
      <c r="L150" s="134"/>
      <c r="M150" s="135">
        <v>501.69</v>
      </c>
      <c r="N150" s="44">
        <v>564</v>
      </c>
      <c r="O150" s="10">
        <v>0.15</v>
      </c>
      <c r="P150" s="11">
        <v>0.05</v>
      </c>
      <c r="Q150" s="9">
        <v>0.03</v>
      </c>
      <c r="S150" s="69"/>
    </row>
    <row r="151" spans="1:19" ht="28.5" customHeight="1" thickBot="1">
      <c r="A151" s="554"/>
      <c r="B151" s="573"/>
      <c r="C151" s="508" t="s">
        <v>44</v>
      </c>
      <c r="D151" s="95"/>
      <c r="E151" s="669" t="s">
        <v>39</v>
      </c>
      <c r="F151" s="605"/>
      <c r="G151" s="548">
        <v>11.88</v>
      </c>
      <c r="H151" s="531">
        <v>1590</v>
      </c>
      <c r="I151" s="566">
        <v>12</v>
      </c>
      <c r="J151" s="874">
        <f>ROUND(K151+K151*O151,0)</f>
        <v>1440</v>
      </c>
      <c r="K151" s="455">
        <v>1252</v>
      </c>
      <c r="L151" s="134"/>
      <c r="M151" s="135">
        <v>501.69</v>
      </c>
      <c r="N151" s="44">
        <v>564</v>
      </c>
      <c r="O151" s="10">
        <v>0.15</v>
      </c>
      <c r="P151" s="11">
        <v>0.05</v>
      </c>
      <c r="Q151" s="9">
        <v>0.03</v>
      </c>
      <c r="S151" s="69"/>
    </row>
    <row r="152" spans="1:19" ht="28.5" customHeight="1" thickBot="1">
      <c r="A152" s="554"/>
      <c r="B152" s="574"/>
      <c r="C152" s="510"/>
      <c r="D152" s="105"/>
      <c r="E152" s="90" t="s">
        <v>37</v>
      </c>
      <c r="F152" s="605"/>
      <c r="G152" s="562">
        <v>14.4</v>
      </c>
      <c r="H152" s="534">
        <v>1988</v>
      </c>
      <c r="I152" s="569">
        <v>10</v>
      </c>
      <c r="J152" s="875">
        <f>ROUND(K152+K152*O152,0)</f>
        <v>1440</v>
      </c>
      <c r="K152" s="455">
        <v>1252</v>
      </c>
      <c r="L152" s="134"/>
      <c r="M152" s="135">
        <v>501.69</v>
      </c>
      <c r="N152" s="44">
        <v>564</v>
      </c>
      <c r="O152" s="10">
        <v>0.15</v>
      </c>
      <c r="P152" s="11">
        <v>0.05</v>
      </c>
      <c r="Q152" s="9">
        <v>0.03</v>
      </c>
      <c r="S152" s="69"/>
    </row>
    <row r="153" spans="1:19" ht="27.9" customHeight="1" thickBot="1">
      <c r="A153" s="538"/>
      <c r="B153" s="575"/>
      <c r="C153" s="508" t="s">
        <v>14</v>
      </c>
      <c r="D153" s="95"/>
      <c r="E153" s="669" t="s">
        <v>39</v>
      </c>
      <c r="F153" s="605"/>
      <c r="G153" s="548">
        <v>11.88</v>
      </c>
      <c r="H153" s="531">
        <v>1590</v>
      </c>
      <c r="I153" s="566">
        <v>12</v>
      </c>
      <c r="J153" s="874">
        <f>ROUND(K153+K153*O153,0)</f>
        <v>1440</v>
      </c>
      <c r="K153" s="455">
        <v>1252</v>
      </c>
      <c r="L153" s="134"/>
      <c r="M153" s="135">
        <v>501.69</v>
      </c>
      <c r="N153" s="43">
        <v>564</v>
      </c>
      <c r="O153" s="10">
        <v>0.15</v>
      </c>
      <c r="P153" s="11">
        <v>0.05</v>
      </c>
      <c r="Q153" s="9">
        <v>0.03</v>
      </c>
      <c r="S153" s="69"/>
    </row>
    <row r="154" spans="1:19" ht="27.9" customHeight="1" thickBot="1">
      <c r="A154" s="554"/>
      <c r="B154" s="574"/>
      <c r="C154" s="510"/>
      <c r="D154" s="153"/>
      <c r="E154" s="90" t="s">
        <v>37</v>
      </c>
      <c r="F154" s="605"/>
      <c r="G154" s="562">
        <v>14.4</v>
      </c>
      <c r="H154" s="534">
        <v>1988</v>
      </c>
      <c r="I154" s="569">
        <v>10</v>
      </c>
      <c r="J154" s="875">
        <f>ROUND(K154+K154*O154,0)</f>
        <v>1440</v>
      </c>
      <c r="K154" s="455">
        <v>1252</v>
      </c>
      <c r="L154" s="134"/>
      <c r="M154" s="135">
        <v>501.69</v>
      </c>
      <c r="N154" s="43">
        <v>564</v>
      </c>
      <c r="O154" s="10">
        <v>0.15</v>
      </c>
      <c r="P154" s="11">
        <v>0.05</v>
      </c>
      <c r="Q154" s="9">
        <v>0.03</v>
      </c>
      <c r="S154" s="69"/>
    </row>
    <row r="155" spans="1:19" ht="43.5" customHeight="1" thickBot="1">
      <c r="A155" s="538"/>
      <c r="B155" s="296"/>
      <c r="C155" s="675" t="s">
        <v>142</v>
      </c>
      <c r="D155" s="36"/>
      <c r="E155" s="80" t="s">
        <v>37</v>
      </c>
      <c r="F155" s="605"/>
      <c r="G155" s="129">
        <v>14.4</v>
      </c>
      <c r="H155" s="110">
        <v>1988</v>
      </c>
      <c r="I155" s="111">
        <v>10</v>
      </c>
      <c r="J155" s="873">
        <f>ROUND(K155+K155*O155,0)</f>
        <v>2765</v>
      </c>
      <c r="K155" s="864">
        <v>2212</v>
      </c>
      <c r="L155" s="134"/>
      <c r="M155" s="135">
        <v>890.68</v>
      </c>
      <c r="N155" s="43">
        <v>1001</v>
      </c>
      <c r="O155" s="10">
        <v>0.25</v>
      </c>
      <c r="P155" s="11">
        <v>0.1</v>
      </c>
      <c r="Q155" s="9">
        <v>3.9960039960039939E-2</v>
      </c>
      <c r="S155" s="69">
        <f>1069*1.1</f>
        <v>1175.9000000000001</v>
      </c>
    </row>
    <row r="156" spans="1:19" ht="44.25" customHeight="1" thickBot="1">
      <c r="A156" s="538"/>
      <c r="B156" s="577"/>
      <c r="C156" s="311" t="s">
        <v>143</v>
      </c>
      <c r="D156" s="36"/>
      <c r="E156" s="80" t="s">
        <v>37</v>
      </c>
      <c r="F156" s="605"/>
      <c r="G156" s="129">
        <v>14.4</v>
      </c>
      <c r="H156" s="110">
        <v>1988</v>
      </c>
      <c r="I156" s="111">
        <v>10</v>
      </c>
      <c r="J156" s="873">
        <f>ROUND(K156+K156*O156,0)</f>
        <v>2765</v>
      </c>
      <c r="K156" s="864">
        <v>2212</v>
      </c>
      <c r="L156" s="134"/>
      <c r="M156" s="135">
        <v>890.68</v>
      </c>
      <c r="N156" s="43">
        <v>1001</v>
      </c>
      <c r="O156" s="10">
        <v>0.25</v>
      </c>
      <c r="P156" s="11">
        <v>0.1</v>
      </c>
      <c r="Q156" s="9">
        <v>3.9960039960039939E-2</v>
      </c>
      <c r="S156" s="69"/>
    </row>
    <row r="157" spans="1:19" ht="49.5" customHeight="1" thickBot="1">
      <c r="A157" s="539"/>
      <c r="B157" s="91"/>
      <c r="C157" s="676" t="s">
        <v>104</v>
      </c>
      <c r="D157" s="36"/>
      <c r="E157" s="80" t="s">
        <v>37</v>
      </c>
      <c r="F157" s="547"/>
      <c r="G157" s="129">
        <v>14.4</v>
      </c>
      <c r="H157" s="110">
        <v>1988</v>
      </c>
      <c r="I157" s="111">
        <v>10</v>
      </c>
      <c r="J157" s="873">
        <f>ROUND(K157+K157*O157,0)</f>
        <v>2765</v>
      </c>
      <c r="K157" s="864">
        <v>2212</v>
      </c>
      <c r="L157" s="134"/>
      <c r="M157" s="135">
        <v>890.68</v>
      </c>
      <c r="N157" s="47">
        <v>1001</v>
      </c>
      <c r="O157" s="10">
        <v>0.25</v>
      </c>
      <c r="P157" s="11">
        <v>0.1</v>
      </c>
      <c r="Q157" s="9">
        <v>3.9960039960039939E-2</v>
      </c>
      <c r="S157" s="69"/>
    </row>
    <row r="158" spans="1:19" ht="15.75" customHeight="1" thickBot="1">
      <c r="A158" s="556" t="s">
        <v>198</v>
      </c>
      <c r="B158" s="557"/>
      <c r="C158" s="557"/>
      <c r="D158" s="557"/>
      <c r="E158" s="557"/>
      <c r="F158" s="557"/>
      <c r="G158" s="557"/>
      <c r="H158" s="557"/>
      <c r="I158" s="557"/>
      <c r="J158" s="885"/>
      <c r="K158" s="626"/>
      <c r="L158" s="134"/>
      <c r="M158" s="135">
        <v>0</v>
      </c>
      <c r="N158" s="62"/>
      <c r="O158" s="10" t="e">
        <v>#DIV/0!</v>
      </c>
      <c r="P158" s="11" t="e">
        <v>#DIV/0!</v>
      </c>
      <c r="Q158" s="9" t="e">
        <v>#DIV/0!</v>
      </c>
      <c r="S158" s="69"/>
    </row>
    <row r="159" spans="1:19" ht="57" customHeight="1" thickBot="1">
      <c r="A159" s="149">
        <v>18</v>
      </c>
      <c r="B159" s="426"/>
      <c r="C159" s="127" t="s">
        <v>6</v>
      </c>
      <c r="D159" s="82" t="s">
        <v>78</v>
      </c>
      <c r="E159" s="158" t="s">
        <v>18</v>
      </c>
      <c r="F159" s="321">
        <v>100</v>
      </c>
      <c r="G159" s="129">
        <v>10.8</v>
      </c>
      <c r="H159" s="110">
        <v>1552</v>
      </c>
      <c r="I159" s="130">
        <v>12</v>
      </c>
      <c r="J159" s="873">
        <f>ROUND(K159+K159*O159,0)</f>
        <v>1559</v>
      </c>
      <c r="K159" s="864">
        <v>1299</v>
      </c>
      <c r="L159" s="134"/>
      <c r="M159" s="135">
        <v>501.69</v>
      </c>
      <c r="N159" s="12">
        <v>564</v>
      </c>
      <c r="O159" s="10">
        <v>0.2</v>
      </c>
      <c r="P159" s="11">
        <v>0.03</v>
      </c>
      <c r="Q159" s="9">
        <v>0.02</v>
      </c>
      <c r="S159" s="69">
        <f>602*1.1</f>
        <v>662.2</v>
      </c>
    </row>
    <row r="160" spans="1:19" s="74" customFormat="1" ht="20.25" customHeight="1" thickBot="1">
      <c r="A160" s="557"/>
      <c r="B160" s="440"/>
      <c r="C160" s="441"/>
      <c r="D160" s="442"/>
      <c r="E160" s="441"/>
      <c r="F160" s="443"/>
      <c r="G160" s="440"/>
      <c r="H160" s="440"/>
      <c r="I160" s="440"/>
      <c r="J160" s="886"/>
      <c r="K160" s="444"/>
      <c r="L160" s="289"/>
      <c r="M160" s="290"/>
      <c r="N160" s="291"/>
      <c r="O160" s="88"/>
      <c r="P160" s="89"/>
      <c r="Q160" s="87"/>
      <c r="S160" s="139"/>
    </row>
    <row r="161" spans="1:19" ht="16.2" thickBot="1">
      <c r="A161" s="535" t="s">
        <v>199</v>
      </c>
      <c r="B161" s="536"/>
      <c r="C161" s="536"/>
      <c r="D161" s="536"/>
      <c r="E161" s="536"/>
      <c r="F161" s="536"/>
      <c r="G161" s="536"/>
      <c r="H161" s="536"/>
      <c r="I161" s="536"/>
      <c r="J161" s="887"/>
      <c r="K161" s="536"/>
      <c r="L161" s="134"/>
      <c r="M161" s="135">
        <v>0</v>
      </c>
      <c r="N161" s="54"/>
      <c r="O161" s="10" t="e">
        <v>#DIV/0!</v>
      </c>
      <c r="P161" s="11" t="e">
        <v>#DIV/0!</v>
      </c>
      <c r="Q161" s="9" t="e">
        <v>#DIV/0!</v>
      </c>
      <c r="S161" s="69"/>
    </row>
    <row r="162" spans="1:19" s="74" customFormat="1" ht="62.25" customHeight="1" thickBot="1">
      <c r="A162" s="75" t="s">
        <v>0</v>
      </c>
      <c r="B162" s="540" t="s">
        <v>5</v>
      </c>
      <c r="C162" s="541"/>
      <c r="D162" s="542"/>
      <c r="E162" s="76" t="s">
        <v>7</v>
      </c>
      <c r="F162" s="76" t="s">
        <v>16</v>
      </c>
      <c r="G162" s="76" t="s">
        <v>134</v>
      </c>
      <c r="H162" s="77" t="s">
        <v>8</v>
      </c>
      <c r="I162" s="76" t="s">
        <v>25</v>
      </c>
      <c r="J162" s="888" t="s">
        <v>149</v>
      </c>
      <c r="K162" s="79" t="s">
        <v>150</v>
      </c>
      <c r="L162" s="74">
        <v>1.05</v>
      </c>
      <c r="M162" s="76" t="s">
        <v>119</v>
      </c>
      <c r="N162" s="76" t="s">
        <v>120</v>
      </c>
      <c r="O162" s="6" t="s">
        <v>114</v>
      </c>
      <c r="P162" s="6" t="s">
        <v>115</v>
      </c>
      <c r="Q162" s="6" t="s">
        <v>116</v>
      </c>
      <c r="S162" s="67"/>
    </row>
    <row r="163" spans="1:19" ht="15.75" customHeight="1" thickBot="1">
      <c r="A163" s="513" t="s">
        <v>200</v>
      </c>
      <c r="B163" s="514"/>
      <c r="C163" s="514"/>
      <c r="D163" s="514"/>
      <c r="E163" s="514"/>
      <c r="F163" s="514"/>
      <c r="G163" s="514"/>
      <c r="H163" s="514"/>
      <c r="I163" s="514"/>
      <c r="J163" s="872"/>
      <c r="K163" s="514"/>
      <c r="L163" s="134"/>
      <c r="M163" s="135">
        <v>0</v>
      </c>
      <c r="N163" s="56"/>
      <c r="O163" s="10" t="e">
        <v>#DIV/0!</v>
      </c>
      <c r="P163" s="11" t="e">
        <v>#DIV/0!</v>
      </c>
      <c r="Q163" s="9" t="e">
        <v>#DIV/0!</v>
      </c>
      <c r="S163" s="69"/>
    </row>
    <row r="164" spans="1:19" ht="48" customHeight="1" thickBot="1">
      <c r="A164" s="149">
        <v>1</v>
      </c>
      <c r="B164" s="285"/>
      <c r="C164" s="311" t="s">
        <v>6</v>
      </c>
      <c r="D164" s="82" t="s">
        <v>78</v>
      </c>
      <c r="E164" s="321" t="s">
        <v>45</v>
      </c>
      <c r="F164" s="129">
        <v>300</v>
      </c>
      <c r="G164" s="110">
        <v>18</v>
      </c>
      <c r="H164" s="110">
        <v>1818</v>
      </c>
      <c r="I164" s="111">
        <v>11</v>
      </c>
      <c r="J164" s="873">
        <f>ROUND(K164+K164*O164,0)</f>
        <v>730</v>
      </c>
      <c r="K164" s="864">
        <v>664</v>
      </c>
      <c r="L164" s="134"/>
      <c r="M164" s="135">
        <v>255.93</v>
      </c>
      <c r="N164" s="37">
        <v>288</v>
      </c>
      <c r="O164" s="10">
        <v>0.1</v>
      </c>
      <c r="P164" s="11">
        <v>0.03</v>
      </c>
      <c r="Q164" s="9">
        <v>0.02</v>
      </c>
      <c r="S164" s="69">
        <f>308*1.1</f>
        <v>338.8</v>
      </c>
    </row>
    <row r="165" spans="1:19" ht="14.25" customHeight="1" thickBot="1">
      <c r="A165" s="513" t="s">
        <v>201</v>
      </c>
      <c r="B165" s="514"/>
      <c r="C165" s="514"/>
      <c r="D165" s="514"/>
      <c r="E165" s="514"/>
      <c r="F165" s="514"/>
      <c r="G165" s="514"/>
      <c r="H165" s="514"/>
      <c r="I165" s="514"/>
      <c r="J165" s="872"/>
      <c r="K165" s="514"/>
      <c r="L165" s="134"/>
      <c r="M165" s="135">
        <v>0</v>
      </c>
      <c r="N165" s="57"/>
      <c r="O165" s="10" t="e">
        <v>#DIV/0!</v>
      </c>
      <c r="P165" s="11" t="e">
        <v>#DIV/0!</v>
      </c>
      <c r="Q165" s="9" t="e">
        <v>#DIV/0!</v>
      </c>
      <c r="S165" s="69"/>
    </row>
    <row r="166" spans="1:19" ht="57.75" customHeight="1" thickBot="1">
      <c r="A166" s="552">
        <v>2</v>
      </c>
      <c r="B166" s="431"/>
      <c r="C166" s="311" t="s">
        <v>6</v>
      </c>
      <c r="D166" s="82" t="s">
        <v>78</v>
      </c>
      <c r="E166" s="515" t="s">
        <v>46</v>
      </c>
      <c r="F166" s="515">
        <v>200</v>
      </c>
      <c r="G166" s="548">
        <v>48</v>
      </c>
      <c r="H166" s="531">
        <v>1759</v>
      </c>
      <c r="I166" s="566">
        <v>11</v>
      </c>
      <c r="J166" s="873">
        <f>ROUND(K166+K166*O166,0)</f>
        <v>374</v>
      </c>
      <c r="K166" s="864">
        <v>288</v>
      </c>
      <c r="L166" s="134"/>
      <c r="M166" s="135">
        <v>111.02</v>
      </c>
      <c r="N166" s="58">
        <v>125</v>
      </c>
      <c r="O166" s="10">
        <v>0.3</v>
      </c>
      <c r="P166" s="11">
        <v>0.03</v>
      </c>
      <c r="Q166" s="59">
        <v>0.02</v>
      </c>
      <c r="S166" s="69">
        <f>134*1.1</f>
        <v>147.4</v>
      </c>
    </row>
    <row r="167" spans="1:19" s="74" customFormat="1" ht="57.75" customHeight="1">
      <c r="A167" s="553"/>
      <c r="B167" s="432"/>
      <c r="C167" s="523" t="s">
        <v>14</v>
      </c>
      <c r="D167" s="192"/>
      <c r="E167" s="550"/>
      <c r="F167" s="550"/>
      <c r="G167" s="561"/>
      <c r="H167" s="532"/>
      <c r="I167" s="567"/>
      <c r="J167" s="889">
        <f>K167*1.3</f>
        <v>430.3</v>
      </c>
      <c r="K167" s="870">
        <v>331</v>
      </c>
      <c r="L167" s="134"/>
      <c r="M167" s="135">
        <v>134.75</v>
      </c>
      <c r="N167" s="60">
        <v>151</v>
      </c>
      <c r="O167" s="88">
        <v>0.25</v>
      </c>
      <c r="P167" s="89">
        <v>0.1</v>
      </c>
      <c r="Q167" s="87">
        <v>0.03</v>
      </c>
      <c r="S167" s="139">
        <f>162*1.1</f>
        <v>178.20000000000002</v>
      </c>
    </row>
    <row r="168" spans="1:19" ht="57.75" customHeight="1">
      <c r="A168" s="554"/>
      <c r="B168" s="433"/>
      <c r="C168" s="509" t="s">
        <v>13</v>
      </c>
      <c r="D168" s="96"/>
      <c r="E168" s="503"/>
      <c r="F168" s="503"/>
      <c r="G168" s="549"/>
      <c r="H168" s="533"/>
      <c r="I168" s="568"/>
      <c r="J168" s="882">
        <f>K168*1.3</f>
        <v>430.3</v>
      </c>
      <c r="K168" s="456">
        <v>331</v>
      </c>
      <c r="L168" s="134"/>
      <c r="M168" s="135">
        <v>134.75</v>
      </c>
      <c r="N168" s="60">
        <v>151</v>
      </c>
      <c r="O168" s="10">
        <v>0.25</v>
      </c>
      <c r="P168" s="11">
        <v>0.1</v>
      </c>
      <c r="Q168" s="9">
        <v>0.03</v>
      </c>
      <c r="S168" s="69">
        <f>162*1.1</f>
        <v>178.20000000000002</v>
      </c>
    </row>
    <row r="169" spans="1:19" ht="57.75" customHeight="1">
      <c r="A169" s="554"/>
      <c r="B169" s="433"/>
      <c r="C169" s="509" t="s">
        <v>12</v>
      </c>
      <c r="D169" s="98" t="s">
        <v>78</v>
      </c>
      <c r="E169" s="503"/>
      <c r="F169" s="503"/>
      <c r="G169" s="549"/>
      <c r="H169" s="533"/>
      <c r="I169" s="568"/>
      <c r="J169" s="882">
        <f>K169*1.3</f>
        <v>430.3</v>
      </c>
      <c r="K169" s="456">
        <v>331</v>
      </c>
      <c r="L169" s="134"/>
      <c r="M169" s="135">
        <v>134.75</v>
      </c>
      <c r="N169" s="60">
        <v>151</v>
      </c>
      <c r="O169" s="10">
        <v>0.25</v>
      </c>
      <c r="P169" s="11">
        <v>0.1</v>
      </c>
      <c r="Q169" s="9">
        <v>0.03</v>
      </c>
      <c r="S169" s="69"/>
    </row>
    <row r="170" spans="1:19" ht="57.75" customHeight="1">
      <c r="A170" s="554"/>
      <c r="B170" s="433"/>
      <c r="C170" s="509" t="s">
        <v>38</v>
      </c>
      <c r="D170" s="98" t="s">
        <v>78</v>
      </c>
      <c r="E170" s="503"/>
      <c r="F170" s="503"/>
      <c r="G170" s="549"/>
      <c r="H170" s="533"/>
      <c r="I170" s="568"/>
      <c r="J170" s="882">
        <f>K170*1.3</f>
        <v>430.3</v>
      </c>
      <c r="K170" s="456">
        <v>331</v>
      </c>
      <c r="L170" s="134"/>
      <c r="M170" s="135">
        <v>134.75</v>
      </c>
      <c r="N170" s="60">
        <v>151</v>
      </c>
      <c r="O170" s="10">
        <v>0.25</v>
      </c>
      <c r="P170" s="11">
        <v>0.1</v>
      </c>
      <c r="Q170" s="9">
        <v>0.03</v>
      </c>
      <c r="S170" s="69"/>
    </row>
    <row r="171" spans="1:19" ht="57.75" customHeight="1">
      <c r="A171" s="554"/>
      <c r="B171" s="433"/>
      <c r="C171" s="509" t="s">
        <v>44</v>
      </c>
      <c r="D171" s="98" t="s">
        <v>78</v>
      </c>
      <c r="E171" s="503"/>
      <c r="F171" s="503"/>
      <c r="G171" s="549"/>
      <c r="H171" s="533"/>
      <c r="I171" s="568"/>
      <c r="J171" s="882">
        <f>K171*1.3</f>
        <v>430.3</v>
      </c>
      <c r="K171" s="456">
        <v>331</v>
      </c>
      <c r="L171" s="134"/>
      <c r="M171" s="135">
        <v>134.75</v>
      </c>
      <c r="N171" s="60">
        <v>151</v>
      </c>
      <c r="O171" s="10">
        <v>0.25</v>
      </c>
      <c r="P171" s="11">
        <v>0.1</v>
      </c>
      <c r="Q171" s="9">
        <v>0.03</v>
      </c>
      <c r="S171" s="69"/>
    </row>
    <row r="172" spans="1:19" ht="57.75" customHeight="1">
      <c r="A172" s="554"/>
      <c r="B172" s="433"/>
      <c r="C172" s="523" t="s">
        <v>86</v>
      </c>
      <c r="D172" s="98" t="s">
        <v>78</v>
      </c>
      <c r="E172" s="503"/>
      <c r="F172" s="503"/>
      <c r="G172" s="549"/>
      <c r="H172" s="533"/>
      <c r="I172" s="568"/>
      <c r="J172" s="882">
        <f>K172*1.3</f>
        <v>496.6</v>
      </c>
      <c r="K172" s="456">
        <v>382</v>
      </c>
      <c r="L172" s="134"/>
      <c r="M172" s="135">
        <v>134.75</v>
      </c>
      <c r="N172" s="60">
        <v>151</v>
      </c>
      <c r="O172" s="10">
        <v>0.25</v>
      </c>
      <c r="P172" s="11">
        <v>0.1</v>
      </c>
      <c r="Q172" s="9">
        <v>0.03</v>
      </c>
      <c r="S172" s="69"/>
    </row>
    <row r="173" spans="1:19" s="74" customFormat="1" ht="57.75" customHeight="1">
      <c r="A173" s="554"/>
      <c r="B173" s="433"/>
      <c r="C173" s="523" t="s">
        <v>85</v>
      </c>
      <c r="D173" s="98" t="s">
        <v>78</v>
      </c>
      <c r="E173" s="503"/>
      <c r="F173" s="503"/>
      <c r="G173" s="549"/>
      <c r="H173" s="533"/>
      <c r="I173" s="568"/>
      <c r="J173" s="882">
        <f>K173*1.3</f>
        <v>496.6</v>
      </c>
      <c r="K173" s="456">
        <v>382</v>
      </c>
      <c r="L173" s="134"/>
      <c r="M173" s="135"/>
      <c r="N173" s="60"/>
      <c r="O173" s="88"/>
      <c r="P173" s="89"/>
      <c r="Q173" s="87"/>
      <c r="S173" s="139"/>
    </row>
    <row r="174" spans="1:19" ht="57.75" customHeight="1">
      <c r="A174" s="554"/>
      <c r="B174" s="433"/>
      <c r="C174" s="509" t="s">
        <v>107</v>
      </c>
      <c r="D174" s="98"/>
      <c r="E174" s="503"/>
      <c r="F174" s="503"/>
      <c r="G174" s="549"/>
      <c r="H174" s="533"/>
      <c r="I174" s="568"/>
      <c r="J174" s="882">
        <f>K174*1.3</f>
        <v>496.6</v>
      </c>
      <c r="K174" s="456">
        <v>382</v>
      </c>
      <c r="L174" s="134"/>
      <c r="M174" s="135">
        <v>134.75</v>
      </c>
      <c r="N174" s="60">
        <v>151</v>
      </c>
      <c r="O174" s="10">
        <v>0.25</v>
      </c>
      <c r="P174" s="11">
        <v>0.1</v>
      </c>
      <c r="Q174" s="9">
        <v>0.03</v>
      </c>
      <c r="S174" s="69"/>
    </row>
    <row r="175" spans="1:19" ht="57.75" customHeight="1">
      <c r="A175" s="554"/>
      <c r="B175" s="433"/>
      <c r="C175" s="509" t="s">
        <v>87</v>
      </c>
      <c r="D175" s="98"/>
      <c r="E175" s="503"/>
      <c r="F175" s="503"/>
      <c r="G175" s="549"/>
      <c r="H175" s="533"/>
      <c r="I175" s="568"/>
      <c r="J175" s="882">
        <f>K175*1.3</f>
        <v>496.6</v>
      </c>
      <c r="K175" s="456">
        <v>382</v>
      </c>
      <c r="L175" s="134"/>
      <c r="M175" s="135">
        <v>134.75</v>
      </c>
      <c r="N175" s="60">
        <v>151</v>
      </c>
      <c r="O175" s="10">
        <v>0.25</v>
      </c>
      <c r="P175" s="11">
        <v>0.1</v>
      </c>
      <c r="Q175" s="9">
        <v>0.03</v>
      </c>
      <c r="S175" s="69"/>
    </row>
    <row r="176" spans="1:19" ht="57.75" customHeight="1" thickBot="1">
      <c r="A176" s="555"/>
      <c r="B176" s="435"/>
      <c r="C176" s="510" t="s">
        <v>92</v>
      </c>
      <c r="D176" s="105" t="s">
        <v>78</v>
      </c>
      <c r="E176" s="504"/>
      <c r="F176" s="504"/>
      <c r="G176" s="562"/>
      <c r="H176" s="534"/>
      <c r="I176" s="569"/>
      <c r="J176" s="875">
        <f>K176*1.3</f>
        <v>496.6</v>
      </c>
      <c r="K176" s="456">
        <v>382</v>
      </c>
      <c r="L176" s="134"/>
      <c r="M176" s="135">
        <v>134.75</v>
      </c>
      <c r="N176" s="61">
        <v>151</v>
      </c>
      <c r="O176" s="10">
        <v>0.25</v>
      </c>
      <c r="P176" s="11">
        <v>0.1</v>
      </c>
      <c r="Q176" s="9">
        <v>0.03</v>
      </c>
      <c r="S176" s="69"/>
    </row>
    <row r="177" spans="1:20" s="74" customFormat="1" ht="18.75" customHeight="1" thickBot="1">
      <c r="A177" s="513" t="s">
        <v>202</v>
      </c>
      <c r="B177" s="551"/>
      <c r="C177" s="551"/>
      <c r="D177" s="551"/>
      <c r="E177" s="551"/>
      <c r="F177" s="551"/>
      <c r="G177" s="551"/>
      <c r="H177" s="551"/>
      <c r="I177" s="551"/>
      <c r="J177" s="890"/>
      <c r="K177" s="551"/>
      <c r="L177" s="134"/>
      <c r="M177" s="135"/>
      <c r="N177" s="128"/>
      <c r="O177" s="88"/>
      <c r="P177" s="89"/>
      <c r="Q177" s="87"/>
      <c r="S177" s="139"/>
    </row>
    <row r="178" spans="1:20" ht="57.75" customHeight="1" thickBot="1">
      <c r="A178" s="537">
        <v>3</v>
      </c>
      <c r="B178" s="431"/>
      <c r="C178" s="311" t="s">
        <v>6</v>
      </c>
      <c r="D178" s="82"/>
      <c r="E178" s="575" t="s">
        <v>118</v>
      </c>
      <c r="F178" s="528">
        <v>200</v>
      </c>
      <c r="G178" s="563">
        <v>104</v>
      </c>
      <c r="H178" s="543">
        <v>1821</v>
      </c>
      <c r="I178" s="558">
        <v>11</v>
      </c>
      <c r="J178" s="891">
        <f>K178*1.3</f>
        <v>219.70000000000002</v>
      </c>
      <c r="K178" s="871">
        <v>169</v>
      </c>
      <c r="L178" s="155">
        <v>75.83</v>
      </c>
      <c r="M178" s="135"/>
      <c r="N178" s="128"/>
      <c r="O178" s="10"/>
      <c r="P178" s="11"/>
      <c r="Q178" s="9"/>
      <c r="S178" s="69"/>
    </row>
    <row r="179" spans="1:20" s="74" customFormat="1" ht="57.75" customHeight="1" thickBot="1">
      <c r="A179" s="538"/>
      <c r="B179" s="432"/>
      <c r="C179" s="523" t="s">
        <v>12</v>
      </c>
      <c r="D179" s="192"/>
      <c r="E179" s="576"/>
      <c r="F179" s="529"/>
      <c r="G179" s="564"/>
      <c r="H179" s="544"/>
      <c r="I179" s="559"/>
      <c r="J179" s="874">
        <f>K179*1.3</f>
        <v>252.20000000000002</v>
      </c>
      <c r="K179" s="455">
        <v>194</v>
      </c>
      <c r="L179" s="155">
        <v>90.83</v>
      </c>
      <c r="M179" s="135"/>
      <c r="N179" s="128"/>
      <c r="O179" s="88"/>
      <c r="P179" s="89"/>
      <c r="Q179" s="87"/>
      <c r="S179" s="139"/>
    </row>
    <row r="180" spans="1:20" s="74" customFormat="1" ht="57.75" customHeight="1" thickBot="1">
      <c r="A180" s="538"/>
      <c r="B180" s="432"/>
      <c r="C180" s="523" t="s">
        <v>44</v>
      </c>
      <c r="D180" s="192"/>
      <c r="E180" s="576"/>
      <c r="F180" s="529"/>
      <c r="G180" s="564"/>
      <c r="H180" s="544"/>
      <c r="I180" s="559"/>
      <c r="J180" s="882">
        <f>K180*1.3</f>
        <v>252.20000000000002</v>
      </c>
      <c r="K180" s="456">
        <v>194</v>
      </c>
      <c r="L180" s="155">
        <v>90.83</v>
      </c>
      <c r="M180" s="135"/>
      <c r="N180" s="128"/>
      <c r="O180" s="88"/>
      <c r="P180" s="89"/>
      <c r="Q180" s="87"/>
      <c r="S180" s="139"/>
    </row>
    <row r="181" spans="1:20" ht="57.75" customHeight="1" thickBot="1">
      <c r="A181" s="538"/>
      <c r="B181" s="433"/>
      <c r="C181" s="509" t="s">
        <v>38</v>
      </c>
      <c r="D181" s="98"/>
      <c r="E181" s="576"/>
      <c r="F181" s="529"/>
      <c r="G181" s="564"/>
      <c r="H181" s="544"/>
      <c r="I181" s="559"/>
      <c r="J181" s="882">
        <f>K181*1.3</f>
        <v>252.20000000000002</v>
      </c>
      <c r="K181" s="456">
        <v>194</v>
      </c>
      <c r="L181" s="155">
        <v>90.83</v>
      </c>
      <c r="M181" s="135"/>
      <c r="N181" s="128"/>
      <c r="O181" s="10"/>
      <c r="P181" s="11"/>
      <c r="Q181" s="9"/>
      <c r="S181" s="69"/>
    </row>
    <row r="182" spans="1:20" s="74" customFormat="1" ht="57.75" customHeight="1" thickBot="1">
      <c r="A182" s="538"/>
      <c r="B182" s="434"/>
      <c r="C182" s="524" t="s">
        <v>93</v>
      </c>
      <c r="D182" s="16"/>
      <c r="E182" s="576"/>
      <c r="F182" s="529"/>
      <c r="G182" s="564"/>
      <c r="H182" s="544"/>
      <c r="I182" s="559"/>
      <c r="J182" s="882">
        <f>K182*1.3</f>
        <v>292.5</v>
      </c>
      <c r="K182" s="456">
        <v>225</v>
      </c>
      <c r="L182" s="155">
        <v>90.83</v>
      </c>
      <c r="M182" s="135"/>
      <c r="N182" s="128"/>
      <c r="O182" s="88"/>
      <c r="P182" s="89"/>
      <c r="Q182" s="87"/>
      <c r="S182" s="139"/>
    </row>
    <row r="183" spans="1:20" ht="57.75" customHeight="1" thickBot="1">
      <c r="A183" s="539"/>
      <c r="B183" s="435"/>
      <c r="C183" s="510" t="s">
        <v>86</v>
      </c>
      <c r="D183" s="105"/>
      <c r="E183" s="577"/>
      <c r="F183" s="530"/>
      <c r="G183" s="565"/>
      <c r="H183" s="545"/>
      <c r="I183" s="560"/>
      <c r="J183" s="875">
        <f>K183*1.3</f>
        <v>292.5</v>
      </c>
      <c r="K183" s="456">
        <v>225</v>
      </c>
      <c r="L183" s="155">
        <v>90.83</v>
      </c>
      <c r="M183" s="135"/>
      <c r="N183" s="128"/>
      <c r="O183" s="10"/>
      <c r="P183" s="11"/>
      <c r="Q183" s="9"/>
      <c r="S183" s="69"/>
    </row>
    <row r="184" spans="1:20" ht="14.25" customHeight="1" thickBot="1">
      <c r="A184" s="556" t="s">
        <v>203</v>
      </c>
      <c r="B184" s="557"/>
      <c r="C184" s="557"/>
      <c r="D184" s="557"/>
      <c r="E184" s="557"/>
      <c r="F184" s="557"/>
      <c r="G184" s="557"/>
      <c r="H184" s="557"/>
      <c r="I184" s="557"/>
      <c r="J184" s="885"/>
      <c r="K184" s="557"/>
      <c r="L184" s="134"/>
      <c r="M184" s="135">
        <v>0</v>
      </c>
      <c r="N184" s="57"/>
      <c r="O184" s="10" t="e">
        <v>#DIV/0!</v>
      </c>
      <c r="P184" s="11" t="e">
        <v>#DIV/0!</v>
      </c>
      <c r="Q184" s="9" t="e">
        <v>#DIV/0!</v>
      </c>
      <c r="S184" s="69"/>
    </row>
    <row r="185" spans="1:20" ht="60" customHeight="1" thickBot="1">
      <c r="A185" s="537">
        <v>4</v>
      </c>
      <c r="B185" s="427"/>
      <c r="C185" s="127" t="s">
        <v>6</v>
      </c>
      <c r="D185" s="36"/>
      <c r="E185" s="365" t="s">
        <v>64</v>
      </c>
      <c r="F185" s="578">
        <v>60</v>
      </c>
      <c r="G185" s="317">
        <v>60</v>
      </c>
      <c r="H185" s="314">
        <v>1498</v>
      </c>
      <c r="I185" s="348">
        <v>13</v>
      </c>
      <c r="J185" s="873">
        <f>ROUND(K185+K185*O185,0)</f>
        <v>662</v>
      </c>
      <c r="K185" s="871">
        <v>552</v>
      </c>
      <c r="L185" s="134"/>
      <c r="M185" s="135">
        <v>211.86</v>
      </c>
      <c r="N185" s="63">
        <v>238</v>
      </c>
      <c r="O185" s="10">
        <v>0.2</v>
      </c>
      <c r="P185" s="11">
        <v>0.05</v>
      </c>
      <c r="Q185" s="9">
        <v>0.02</v>
      </c>
      <c r="S185" s="69">
        <f>255*1.1</f>
        <v>280.5</v>
      </c>
    </row>
    <row r="186" spans="1:20" ht="60" customHeight="1" thickBot="1">
      <c r="A186" s="538"/>
      <c r="B186" s="428"/>
      <c r="C186" s="349" t="s">
        <v>44</v>
      </c>
      <c r="D186" s="95"/>
      <c r="E186" s="366" t="s">
        <v>64</v>
      </c>
      <c r="F186" s="579"/>
      <c r="G186" s="133">
        <v>60</v>
      </c>
      <c r="H186" s="101">
        <v>1498</v>
      </c>
      <c r="I186" s="102">
        <v>13</v>
      </c>
      <c r="J186" s="874">
        <f>ROUND(K186+K186*O186,0)</f>
        <v>857</v>
      </c>
      <c r="K186" s="455">
        <v>714</v>
      </c>
      <c r="L186" s="134"/>
      <c r="M186" s="135">
        <v>284.75</v>
      </c>
      <c r="N186" s="63">
        <v>320</v>
      </c>
      <c r="O186" s="10">
        <v>0.2</v>
      </c>
      <c r="P186" s="11">
        <v>0.05</v>
      </c>
      <c r="Q186" s="9">
        <v>3.0000000000000027E-2</v>
      </c>
      <c r="S186" s="69">
        <f>342*1.1</f>
        <v>376.20000000000005</v>
      </c>
    </row>
    <row r="187" spans="1:20" ht="60" customHeight="1" thickBot="1">
      <c r="A187" s="538"/>
      <c r="B187" s="429"/>
      <c r="C187" s="350" t="s">
        <v>38</v>
      </c>
      <c r="D187" s="96"/>
      <c r="E187" s="367" t="s">
        <v>64</v>
      </c>
      <c r="F187" s="579"/>
      <c r="G187" s="131">
        <v>60</v>
      </c>
      <c r="H187" s="103">
        <v>1498</v>
      </c>
      <c r="I187" s="104">
        <v>13</v>
      </c>
      <c r="J187" s="882">
        <f>ROUND(K187+K187*O187,0)</f>
        <v>857</v>
      </c>
      <c r="K187" s="455">
        <v>714</v>
      </c>
      <c r="L187" s="134"/>
      <c r="M187" s="135">
        <v>284.75</v>
      </c>
      <c r="N187" s="63">
        <v>320</v>
      </c>
      <c r="O187" s="10">
        <v>0.2</v>
      </c>
      <c r="P187" s="11">
        <v>0.05</v>
      </c>
      <c r="Q187" s="9">
        <v>3.0000000000000027E-2</v>
      </c>
      <c r="S187" s="69"/>
    </row>
    <row r="188" spans="1:20" ht="60" customHeight="1" thickBot="1">
      <c r="A188" s="539"/>
      <c r="B188" s="430"/>
      <c r="C188" s="351" t="s">
        <v>12</v>
      </c>
      <c r="D188" s="153"/>
      <c r="E188" s="368" t="s">
        <v>64</v>
      </c>
      <c r="F188" s="580"/>
      <c r="G188" s="132">
        <v>60</v>
      </c>
      <c r="H188" s="106">
        <v>1498</v>
      </c>
      <c r="I188" s="107">
        <v>13</v>
      </c>
      <c r="J188" s="875">
        <f>ROUND(K188+K188*O188,0)</f>
        <v>857</v>
      </c>
      <c r="K188" s="455">
        <v>714</v>
      </c>
      <c r="L188" s="134"/>
      <c r="M188" s="135">
        <v>284.75</v>
      </c>
      <c r="N188" s="64">
        <v>320</v>
      </c>
      <c r="O188" s="10">
        <v>0.2</v>
      </c>
      <c r="P188" s="11">
        <v>0.05</v>
      </c>
      <c r="Q188" s="9">
        <v>3.0000000000000027E-2</v>
      </c>
      <c r="S188" s="69"/>
    </row>
    <row r="189" spans="1:20" s="74" customFormat="1" ht="26.4" customHeight="1" thickBot="1">
      <c r="A189" s="493" t="s">
        <v>204</v>
      </c>
      <c r="B189" s="493"/>
      <c r="C189" s="493"/>
      <c r="D189" s="493"/>
      <c r="E189" s="493"/>
      <c r="F189" s="493"/>
      <c r="G189" s="493"/>
      <c r="H189" s="493"/>
      <c r="I189" s="493"/>
      <c r="J189" s="879"/>
      <c r="K189" s="493"/>
      <c r="L189" s="134"/>
      <c r="M189" s="135"/>
      <c r="N189" s="46"/>
      <c r="O189" s="88"/>
      <c r="P189" s="89"/>
      <c r="Q189" s="87"/>
      <c r="S189" s="139"/>
    </row>
    <row r="190" spans="1:20" s="74" customFormat="1" ht="60" customHeight="1" thickBot="1">
      <c r="A190" s="162"/>
      <c r="B190" s="480"/>
      <c r="C190" s="348" t="s">
        <v>44</v>
      </c>
      <c r="D190" s="114" t="s">
        <v>113</v>
      </c>
      <c r="E190" s="331" t="s">
        <v>167</v>
      </c>
      <c r="F190" s="314"/>
      <c r="G190" s="314">
        <v>264</v>
      </c>
      <c r="H190" s="314">
        <v>1363</v>
      </c>
      <c r="I190" s="315">
        <v>14</v>
      </c>
      <c r="J190" s="873">
        <f>K190*1.3</f>
        <v>113.10000000000001</v>
      </c>
      <c r="K190" s="864">
        <v>87</v>
      </c>
      <c r="L190" s="134"/>
      <c r="M190" s="135"/>
      <c r="N190" s="46"/>
      <c r="O190" s="88"/>
      <c r="P190" s="89"/>
      <c r="Q190" s="87"/>
      <c r="S190" s="139"/>
    </row>
    <row r="191" spans="1:20" ht="72" customHeight="1" thickBot="1">
      <c r="T191" s="862"/>
    </row>
    <row r="192" spans="1:20" ht="21" customHeight="1" thickBot="1">
      <c r="A192" s="525" t="s">
        <v>205</v>
      </c>
      <c r="B192" s="526"/>
      <c r="C192" s="526"/>
      <c r="D192" s="526"/>
      <c r="E192" s="526"/>
      <c r="F192" s="526"/>
      <c r="G192" s="526"/>
      <c r="H192" s="526"/>
      <c r="I192" s="526"/>
      <c r="J192" s="526"/>
      <c r="K192" s="526"/>
      <c r="L192" s="526"/>
      <c r="M192" s="526"/>
      <c r="N192" s="527"/>
      <c r="T192" s="862"/>
    </row>
    <row r="193" spans="1:20" s="74" customFormat="1" ht="46.5" customHeight="1" thickBot="1">
      <c r="A193" s="75" t="s">
        <v>0</v>
      </c>
      <c r="B193" s="540" t="s">
        <v>5</v>
      </c>
      <c r="C193" s="541"/>
      <c r="D193" s="542"/>
      <c r="E193" s="76" t="s">
        <v>7</v>
      </c>
      <c r="F193" s="76" t="s">
        <v>16</v>
      </c>
      <c r="G193" s="76" t="s">
        <v>138</v>
      </c>
      <c r="H193" s="77" t="s">
        <v>8</v>
      </c>
      <c r="I193" s="76" t="s">
        <v>25</v>
      </c>
      <c r="J193" s="78" t="s">
        <v>33</v>
      </c>
      <c r="K193" s="76" t="s">
        <v>53</v>
      </c>
      <c r="L193" s="372">
        <v>1.05</v>
      </c>
      <c r="M193" s="76" t="s">
        <v>119</v>
      </c>
      <c r="N193" s="76" t="s">
        <v>120</v>
      </c>
      <c r="O193" s="6" t="s">
        <v>114</v>
      </c>
      <c r="P193" s="6" t="s">
        <v>115</v>
      </c>
      <c r="Q193" s="6" t="s">
        <v>116</v>
      </c>
      <c r="S193" s="67"/>
      <c r="T193" s="862"/>
    </row>
    <row r="194" spans="1:20" ht="15" customHeight="1" thickBot="1">
      <c r="A194" s="513" t="s">
        <v>206</v>
      </c>
      <c r="B194" s="514"/>
      <c r="C194" s="514"/>
      <c r="D194" s="514"/>
      <c r="E194" s="514"/>
      <c r="F194" s="514"/>
      <c r="G194" s="514"/>
      <c r="H194" s="514"/>
      <c r="I194" s="514"/>
      <c r="J194" s="514"/>
      <c r="K194" s="514"/>
      <c r="L194" s="373"/>
      <c r="M194" s="374">
        <v>0</v>
      </c>
      <c r="N194" s="376"/>
      <c r="O194" s="10" t="e">
        <v>#DIV/0!</v>
      </c>
      <c r="P194" s="11" t="e">
        <v>#DIV/0!</v>
      </c>
      <c r="Q194" s="9" t="e">
        <v>#DIV/0!</v>
      </c>
      <c r="S194" s="69"/>
      <c r="T194" s="862"/>
    </row>
    <row r="195" spans="1:20" ht="48" customHeight="1" thickBot="1">
      <c r="A195" s="149">
        <v>2</v>
      </c>
      <c r="B195" s="80"/>
      <c r="C195" s="113" t="s">
        <v>6</v>
      </c>
      <c r="D195" s="114" t="s">
        <v>113</v>
      </c>
      <c r="E195" s="115" t="s">
        <v>129</v>
      </c>
      <c r="F195" s="115">
        <v>80</v>
      </c>
      <c r="G195" s="129">
        <v>11.52</v>
      </c>
      <c r="H195" s="110">
        <v>2159</v>
      </c>
      <c r="I195" s="111">
        <v>9</v>
      </c>
      <c r="J195" s="84">
        <f>ROUND(K195+K195*O195,0)</f>
        <v>2030</v>
      </c>
      <c r="K195" s="85">
        <v>1845</v>
      </c>
      <c r="L195" s="373"/>
      <c r="M195" s="374">
        <v>711.86</v>
      </c>
      <c r="N195" s="48">
        <v>800</v>
      </c>
      <c r="O195" s="10">
        <v>0.1</v>
      </c>
      <c r="P195" s="11">
        <v>0.03</v>
      </c>
      <c r="Q195" s="9">
        <v>2.0000000000000018E-2</v>
      </c>
      <c r="S195" s="69">
        <f>855*1.1</f>
        <v>940.50000000000011</v>
      </c>
      <c r="T195" s="862"/>
    </row>
    <row r="196" spans="1:20" ht="15" thickBot="1">
      <c r="A196" s="513" t="s">
        <v>207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514"/>
      <c r="L196" s="373"/>
      <c r="M196" s="374">
        <v>0</v>
      </c>
      <c r="N196" s="376"/>
      <c r="O196" s="10" t="e">
        <v>#DIV/0!</v>
      </c>
      <c r="P196" s="11" t="e">
        <v>#DIV/0!</v>
      </c>
      <c r="Q196" s="9" t="e">
        <v>#DIV/0!</v>
      </c>
      <c r="S196" s="69"/>
      <c r="T196" s="862"/>
    </row>
    <row r="197" spans="1:20" ht="18.75" customHeight="1">
      <c r="A197" s="505">
        <v>3</v>
      </c>
      <c r="B197" s="494"/>
      <c r="C197" s="581" t="s">
        <v>6</v>
      </c>
      <c r="D197" s="108" t="s">
        <v>113</v>
      </c>
      <c r="E197" s="570" t="s">
        <v>17</v>
      </c>
      <c r="F197" s="515">
        <v>60</v>
      </c>
      <c r="G197" s="165">
        <v>12</v>
      </c>
      <c r="H197" s="116">
        <v>1654</v>
      </c>
      <c r="I197" s="163">
        <v>12</v>
      </c>
      <c r="J197" s="171">
        <f>ROUND(K197+K197*O197,0)</f>
        <v>1825</v>
      </c>
      <c r="K197" s="172">
        <v>1659</v>
      </c>
      <c r="L197" s="299"/>
      <c r="M197" s="300">
        <v>640.67999999999995</v>
      </c>
      <c r="N197" s="18">
        <v>720</v>
      </c>
      <c r="O197" s="10">
        <v>0.1</v>
      </c>
      <c r="P197" s="11">
        <v>0.03</v>
      </c>
      <c r="Q197" s="9">
        <v>2.0000000000000018E-2</v>
      </c>
      <c r="S197" s="69">
        <f>769*1.1</f>
        <v>845.90000000000009</v>
      </c>
      <c r="T197" s="862"/>
    </row>
    <row r="198" spans="1:20" ht="18.75" customHeight="1">
      <c r="A198" s="506"/>
      <c r="B198" s="495"/>
      <c r="C198" s="582"/>
      <c r="D198" s="97" t="s">
        <v>113</v>
      </c>
      <c r="E198" s="571"/>
      <c r="F198" s="503">
        <v>70</v>
      </c>
      <c r="G198" s="166">
        <v>11</v>
      </c>
      <c r="H198" s="118">
        <v>1773</v>
      </c>
      <c r="I198" s="164">
        <v>11</v>
      </c>
      <c r="J198" s="175">
        <f>ROUND(K198+K198*O198,0)</f>
        <v>1929</v>
      </c>
      <c r="K198" s="3">
        <v>1754</v>
      </c>
      <c r="L198" s="301"/>
      <c r="M198" s="302">
        <v>676.27</v>
      </c>
      <c r="N198" s="41">
        <v>760</v>
      </c>
      <c r="O198" s="10">
        <v>0.1</v>
      </c>
      <c r="P198" s="11">
        <v>0.03</v>
      </c>
      <c r="Q198" s="9">
        <v>2.0000000000000018E-2</v>
      </c>
      <c r="S198" s="69">
        <f>812*1.1</f>
        <v>893.2</v>
      </c>
      <c r="T198" s="862"/>
    </row>
    <row r="199" spans="1:20" ht="19.5" customHeight="1" thickBot="1">
      <c r="A199" s="506"/>
      <c r="B199" s="504"/>
      <c r="C199" s="583"/>
      <c r="D199" s="355" t="s">
        <v>113</v>
      </c>
      <c r="E199" s="571"/>
      <c r="F199" s="504">
        <v>80</v>
      </c>
      <c r="G199" s="384">
        <v>10</v>
      </c>
      <c r="H199" s="534">
        <v>1842</v>
      </c>
      <c r="I199" s="124">
        <v>10</v>
      </c>
      <c r="J199" s="177">
        <f>ROUND(K199+K199*O199,0)</f>
        <v>2156</v>
      </c>
      <c r="K199" s="4">
        <v>1960</v>
      </c>
      <c r="L199" s="303"/>
      <c r="M199" s="304">
        <v>756.78</v>
      </c>
      <c r="N199" s="49">
        <v>850</v>
      </c>
      <c r="O199" s="10">
        <v>0.1</v>
      </c>
      <c r="P199" s="11">
        <v>0.03</v>
      </c>
      <c r="Q199" s="9">
        <v>2.0000000000000018E-2</v>
      </c>
      <c r="S199" s="69">
        <f>909*1.1</f>
        <v>999.90000000000009</v>
      </c>
      <c r="T199" s="862"/>
    </row>
    <row r="200" spans="1:20" ht="18.75" customHeight="1">
      <c r="A200" s="506"/>
      <c r="B200" s="515"/>
      <c r="C200" s="516" t="s">
        <v>12</v>
      </c>
      <c r="D200" s="108" t="s">
        <v>113</v>
      </c>
      <c r="E200" s="571"/>
      <c r="F200" s="515">
        <v>60</v>
      </c>
      <c r="G200" s="165">
        <v>12</v>
      </c>
      <c r="H200" s="116">
        <v>1654</v>
      </c>
      <c r="I200" s="163">
        <v>12</v>
      </c>
      <c r="J200" s="305">
        <f>ROUND(K200+K200*O200,0)</f>
        <v>2252</v>
      </c>
      <c r="K200" s="172">
        <v>1958</v>
      </c>
      <c r="L200" s="299"/>
      <c r="M200" s="300">
        <v>783.05</v>
      </c>
      <c r="N200" s="18">
        <v>880</v>
      </c>
      <c r="O200" s="10">
        <v>0.15</v>
      </c>
      <c r="P200" s="11">
        <v>0.05</v>
      </c>
      <c r="Q200" s="9">
        <v>3.0000000000000027E-2</v>
      </c>
      <c r="S200" s="69">
        <f>940*1.1</f>
        <v>1034</v>
      </c>
      <c r="T200" s="862"/>
    </row>
    <row r="201" spans="1:20" ht="18.75" customHeight="1">
      <c r="A201" s="506"/>
      <c r="B201" s="503"/>
      <c r="C201" s="517"/>
      <c r="D201" s="97" t="s">
        <v>113</v>
      </c>
      <c r="E201" s="571"/>
      <c r="F201" s="503">
        <v>70</v>
      </c>
      <c r="G201" s="166">
        <v>11</v>
      </c>
      <c r="H201" s="118">
        <v>1773</v>
      </c>
      <c r="I201" s="164">
        <v>11</v>
      </c>
      <c r="J201" s="175">
        <f>ROUND(K201+K201*O201,0)</f>
        <v>2308</v>
      </c>
      <c r="K201" s="3">
        <v>2007</v>
      </c>
      <c r="L201" s="301"/>
      <c r="M201" s="302">
        <v>800.85</v>
      </c>
      <c r="N201" s="41">
        <v>900</v>
      </c>
      <c r="O201" s="10">
        <v>0.15</v>
      </c>
      <c r="P201" s="11">
        <v>0.05</v>
      </c>
      <c r="Q201" s="9">
        <v>3.0000000000000027E-2</v>
      </c>
      <c r="S201" s="69">
        <f>961*1.1</f>
        <v>1057.1000000000001</v>
      </c>
      <c r="T201" s="862"/>
    </row>
    <row r="202" spans="1:20" ht="19.5" customHeight="1" thickBot="1">
      <c r="A202" s="506"/>
      <c r="B202" s="504"/>
      <c r="C202" s="518"/>
      <c r="D202" s="99" t="s">
        <v>113</v>
      </c>
      <c r="E202" s="571"/>
      <c r="F202" s="504">
        <v>80</v>
      </c>
      <c r="G202" s="384">
        <v>10</v>
      </c>
      <c r="H202" s="534">
        <v>1842</v>
      </c>
      <c r="I202" s="124">
        <v>10</v>
      </c>
      <c r="J202" s="177">
        <f>ROUND(K202+K202*O202,0)</f>
        <v>2355</v>
      </c>
      <c r="K202" s="4">
        <v>2048</v>
      </c>
      <c r="L202" s="303"/>
      <c r="M202" s="304">
        <v>818.64</v>
      </c>
      <c r="N202" s="49">
        <v>920</v>
      </c>
      <c r="O202" s="10">
        <v>0.15</v>
      </c>
      <c r="P202" s="11">
        <v>0.05</v>
      </c>
      <c r="Q202" s="9">
        <v>3.0000000000000027E-2</v>
      </c>
      <c r="S202" s="69">
        <f>982*1.1</f>
        <v>1080.2</v>
      </c>
      <c r="T202" s="862"/>
    </row>
    <row r="203" spans="1:20" ht="18.75" customHeight="1">
      <c r="A203" s="506"/>
      <c r="B203" s="515"/>
      <c r="C203" s="573" t="s">
        <v>13</v>
      </c>
      <c r="D203" s="108" t="s">
        <v>113</v>
      </c>
      <c r="E203" s="571"/>
      <c r="F203" s="515">
        <v>60</v>
      </c>
      <c r="G203" s="165">
        <v>12</v>
      </c>
      <c r="H203" s="116">
        <v>1654</v>
      </c>
      <c r="I203" s="163">
        <v>12</v>
      </c>
      <c r="J203" s="305">
        <f>ROUND(K203+K203*O203,0)</f>
        <v>2252</v>
      </c>
      <c r="K203" s="172">
        <v>1958</v>
      </c>
      <c r="L203" s="299"/>
      <c r="M203" s="300">
        <v>783.05</v>
      </c>
      <c r="N203" s="18">
        <v>880</v>
      </c>
      <c r="O203" s="10">
        <v>0.15</v>
      </c>
      <c r="P203" s="11">
        <v>0.05</v>
      </c>
      <c r="Q203" s="9">
        <v>3.0000000000000027E-2</v>
      </c>
      <c r="S203" s="69"/>
      <c r="T203" s="862"/>
    </row>
    <row r="204" spans="1:20" ht="18.75" customHeight="1">
      <c r="A204" s="506"/>
      <c r="B204" s="519"/>
      <c r="C204" s="517"/>
      <c r="D204" s="97" t="s">
        <v>113</v>
      </c>
      <c r="E204" s="571"/>
      <c r="F204" s="503">
        <v>70</v>
      </c>
      <c r="G204" s="166">
        <v>11</v>
      </c>
      <c r="H204" s="118">
        <v>1773</v>
      </c>
      <c r="I204" s="164">
        <v>11</v>
      </c>
      <c r="J204" s="175">
        <f>ROUND(K204+K204*O204,0)</f>
        <v>2308</v>
      </c>
      <c r="K204" s="3">
        <v>2007</v>
      </c>
      <c r="L204" s="301"/>
      <c r="M204" s="302">
        <v>800.85</v>
      </c>
      <c r="N204" s="41">
        <v>900</v>
      </c>
      <c r="O204" s="10">
        <v>0.15</v>
      </c>
      <c r="P204" s="11">
        <v>0.05</v>
      </c>
      <c r="Q204" s="9">
        <v>3.0000000000000027E-2</v>
      </c>
      <c r="S204" s="69"/>
      <c r="T204" s="862"/>
    </row>
    <row r="205" spans="1:20" ht="20.25" customHeight="1" thickBot="1">
      <c r="A205" s="506"/>
      <c r="B205" s="520"/>
      <c r="C205" s="574"/>
      <c r="D205" s="99" t="s">
        <v>113</v>
      </c>
      <c r="E205" s="571"/>
      <c r="F205" s="504">
        <v>80</v>
      </c>
      <c r="G205" s="384">
        <v>10</v>
      </c>
      <c r="H205" s="534">
        <v>1842</v>
      </c>
      <c r="I205" s="124">
        <v>10</v>
      </c>
      <c r="J205" s="177">
        <f>ROUND(K205+K205*O205,0)</f>
        <v>2355</v>
      </c>
      <c r="K205" s="4">
        <v>2048</v>
      </c>
      <c r="L205" s="303"/>
      <c r="M205" s="304">
        <v>818.64</v>
      </c>
      <c r="N205" s="49">
        <v>920</v>
      </c>
      <c r="O205" s="10">
        <v>0.15</v>
      </c>
      <c r="P205" s="11">
        <v>0.05</v>
      </c>
      <c r="Q205" s="9">
        <v>3.0000000000000027E-2</v>
      </c>
      <c r="S205" s="69"/>
      <c r="T205" s="862"/>
    </row>
    <row r="206" spans="1:20" ht="18.75" customHeight="1">
      <c r="A206" s="506"/>
      <c r="B206" s="494"/>
      <c r="C206" s="581" t="s">
        <v>28</v>
      </c>
      <c r="D206" s="347" t="s">
        <v>113</v>
      </c>
      <c r="E206" s="571"/>
      <c r="F206" s="515">
        <v>60</v>
      </c>
      <c r="G206" s="165">
        <v>12</v>
      </c>
      <c r="H206" s="116">
        <v>1654</v>
      </c>
      <c r="I206" s="163">
        <v>12</v>
      </c>
      <c r="J206" s="305">
        <f>ROUND(K206+K206*O206,0)</f>
        <v>2252</v>
      </c>
      <c r="K206" s="172">
        <v>1958</v>
      </c>
      <c r="L206" s="299"/>
      <c r="M206" s="300">
        <v>783.05</v>
      </c>
      <c r="N206" s="18">
        <v>880</v>
      </c>
      <c r="O206" s="10">
        <v>0.15</v>
      </c>
      <c r="P206" s="11">
        <v>0.05</v>
      </c>
      <c r="Q206" s="9">
        <v>3.0000000000000027E-2</v>
      </c>
      <c r="S206" s="69"/>
      <c r="T206" s="862"/>
    </row>
    <row r="207" spans="1:20" ht="18.75" customHeight="1">
      <c r="A207" s="506"/>
      <c r="B207" s="503"/>
      <c r="C207" s="582"/>
      <c r="D207" s="97" t="s">
        <v>113</v>
      </c>
      <c r="E207" s="571"/>
      <c r="F207" s="503">
        <v>70</v>
      </c>
      <c r="G207" s="166">
        <v>11</v>
      </c>
      <c r="H207" s="118">
        <v>1773</v>
      </c>
      <c r="I207" s="164">
        <v>11</v>
      </c>
      <c r="J207" s="175">
        <f>ROUND(K207+K207*O207,0)</f>
        <v>2308</v>
      </c>
      <c r="K207" s="3">
        <v>2007</v>
      </c>
      <c r="L207" s="301"/>
      <c r="M207" s="302">
        <v>800.85</v>
      </c>
      <c r="N207" s="41">
        <v>900</v>
      </c>
      <c r="O207" s="10">
        <v>0.15</v>
      </c>
      <c r="P207" s="11">
        <v>0.05</v>
      </c>
      <c r="Q207" s="9">
        <v>3.0000000000000027E-2</v>
      </c>
      <c r="S207" s="69"/>
      <c r="T207" s="862"/>
    </row>
    <row r="208" spans="1:20" ht="19.5" customHeight="1" thickBot="1">
      <c r="A208" s="507"/>
      <c r="B208" s="504"/>
      <c r="C208" s="583"/>
      <c r="D208" s="99" t="s">
        <v>113</v>
      </c>
      <c r="E208" s="572"/>
      <c r="F208" s="504">
        <v>80</v>
      </c>
      <c r="G208" s="384">
        <v>10</v>
      </c>
      <c r="H208" s="534">
        <v>1842</v>
      </c>
      <c r="I208" s="124">
        <v>10</v>
      </c>
      <c r="J208" s="177">
        <f>ROUND(K208+K208*O208,0)</f>
        <v>2355</v>
      </c>
      <c r="K208" s="4">
        <v>2048</v>
      </c>
      <c r="L208" s="303"/>
      <c r="M208" s="304">
        <v>818.64</v>
      </c>
      <c r="N208" s="49">
        <v>920</v>
      </c>
      <c r="O208" s="10">
        <v>0.15</v>
      </c>
      <c r="P208" s="11">
        <v>0.05</v>
      </c>
      <c r="Q208" s="9">
        <v>3.0000000000000027E-2</v>
      </c>
      <c r="S208" s="69"/>
      <c r="T208" s="862"/>
    </row>
    <row r="209" spans="1:20" ht="16.5" customHeight="1" thickBot="1">
      <c r="A209" s="513" t="s">
        <v>208</v>
      </c>
      <c r="B209" s="514"/>
      <c r="C209" s="514"/>
      <c r="D209" s="514"/>
      <c r="E209" s="514"/>
      <c r="F209" s="514"/>
      <c r="G209" s="514"/>
      <c r="H209" s="514"/>
      <c r="I209" s="514"/>
      <c r="J209" s="514"/>
      <c r="K209" s="514"/>
      <c r="L209" s="373"/>
      <c r="M209" s="374">
        <v>0</v>
      </c>
      <c r="N209" s="377"/>
      <c r="O209" s="10" t="e">
        <v>#DIV/0!</v>
      </c>
      <c r="P209" s="11" t="e">
        <v>#DIV/0!</v>
      </c>
      <c r="Q209" s="9" t="e">
        <v>#DIV/0!</v>
      </c>
      <c r="S209" s="69"/>
      <c r="T209" s="862"/>
    </row>
    <row r="210" spans="1:20" ht="41.25" customHeight="1">
      <c r="A210" s="631">
        <v>4</v>
      </c>
      <c r="B210" s="125"/>
      <c r="C210" s="573" t="s">
        <v>6</v>
      </c>
      <c r="D210" s="108" t="s">
        <v>113</v>
      </c>
      <c r="E210" s="629" t="s">
        <v>41</v>
      </c>
      <c r="F210" s="546">
        <v>60</v>
      </c>
      <c r="G210" s="548">
        <v>10.38</v>
      </c>
      <c r="H210" s="531">
        <v>1448</v>
      </c>
      <c r="I210" s="566">
        <v>13</v>
      </c>
      <c r="J210" s="171">
        <f>ROUND(K210+K210*O210,0)</f>
        <v>2131</v>
      </c>
      <c r="K210" s="172">
        <v>1937</v>
      </c>
      <c r="L210" s="299"/>
      <c r="M210" s="300">
        <v>747.46</v>
      </c>
      <c r="N210" s="18">
        <v>840</v>
      </c>
      <c r="O210" s="10">
        <v>0.1</v>
      </c>
      <c r="P210" s="11">
        <v>0.03</v>
      </c>
      <c r="Q210" s="9">
        <v>2.0000000000000018E-2</v>
      </c>
      <c r="S210" s="69">
        <f>897*1.1</f>
        <v>986.7</v>
      </c>
      <c r="T210" s="862"/>
    </row>
    <row r="211" spans="1:20" ht="42" customHeight="1" thickBot="1">
      <c r="A211" s="632"/>
      <c r="B211" s="126"/>
      <c r="C211" s="574" t="s">
        <v>12</v>
      </c>
      <c r="D211" s="99" t="s">
        <v>113</v>
      </c>
      <c r="E211" s="670" t="s">
        <v>41</v>
      </c>
      <c r="F211" s="547"/>
      <c r="G211" s="562">
        <v>10.38</v>
      </c>
      <c r="H211" s="534">
        <v>1448</v>
      </c>
      <c r="I211" s="569">
        <v>13</v>
      </c>
      <c r="J211" s="177">
        <f>ROUND(K211+K211*O211,0)</f>
        <v>2233</v>
      </c>
      <c r="K211" s="4">
        <v>1942</v>
      </c>
      <c r="L211" s="303"/>
      <c r="M211" s="304">
        <v>774.58</v>
      </c>
      <c r="N211" s="49">
        <v>870</v>
      </c>
      <c r="O211" s="10">
        <v>0.15</v>
      </c>
      <c r="P211" s="11">
        <v>0.05</v>
      </c>
      <c r="Q211" s="9">
        <v>3.0000000000000027E-2</v>
      </c>
      <c r="S211" s="69">
        <f>930*1.1</f>
        <v>1023.0000000000001</v>
      </c>
      <c r="T211" s="862"/>
    </row>
    <row r="212" spans="1:20" ht="16.2" thickBot="1">
      <c r="A212" s="535" t="s">
        <v>209</v>
      </c>
      <c r="B212" s="536"/>
      <c r="C212" s="536"/>
      <c r="D212" s="536"/>
      <c r="E212" s="536"/>
      <c r="F212" s="536"/>
      <c r="G212" s="536"/>
      <c r="H212" s="536"/>
      <c r="I212" s="536"/>
      <c r="J212" s="536"/>
      <c r="K212" s="536"/>
      <c r="L212" s="373"/>
      <c r="M212" s="374">
        <v>0</v>
      </c>
      <c r="N212" s="378"/>
      <c r="O212" s="10" t="e">
        <v>#DIV/0!</v>
      </c>
      <c r="P212" s="11" t="e">
        <v>#DIV/0!</v>
      </c>
      <c r="Q212" s="9" t="e">
        <v>#DIV/0!</v>
      </c>
      <c r="S212" s="69"/>
      <c r="T212" s="862"/>
    </row>
    <row r="213" spans="1:20" ht="15" thickBot="1">
      <c r="A213" s="556" t="s">
        <v>210</v>
      </c>
      <c r="B213" s="557"/>
      <c r="C213" s="557"/>
      <c r="D213" s="557"/>
      <c r="E213" s="557"/>
      <c r="F213" s="557"/>
      <c r="G213" s="557"/>
      <c r="H213" s="557"/>
      <c r="I213" s="557"/>
      <c r="J213" s="557"/>
      <c r="K213" s="557"/>
      <c r="L213" s="373"/>
      <c r="M213" s="374">
        <v>0</v>
      </c>
      <c r="N213" s="376"/>
      <c r="O213" s="10" t="e">
        <v>#DIV/0!</v>
      </c>
      <c r="P213" s="11" t="e">
        <v>#DIV/0!</v>
      </c>
      <c r="Q213" s="9" t="e">
        <v>#DIV/0!</v>
      </c>
      <c r="S213" s="69"/>
      <c r="T213" s="862"/>
    </row>
    <row r="214" spans="1:20" ht="57" customHeight="1" thickBot="1">
      <c r="A214" s="552">
        <v>1</v>
      </c>
      <c r="B214" s="669"/>
      <c r="C214" s="494" t="s">
        <v>98</v>
      </c>
      <c r="D214" s="108" t="s">
        <v>113</v>
      </c>
      <c r="E214" s="629" t="s">
        <v>22</v>
      </c>
      <c r="F214" s="515">
        <v>160</v>
      </c>
      <c r="G214" s="548">
        <v>5</v>
      </c>
      <c r="H214" s="531">
        <v>1887</v>
      </c>
      <c r="I214" s="566">
        <v>10</v>
      </c>
      <c r="J214" s="84">
        <f>ROUND(K214+K214*O214,0)</f>
        <v>3953</v>
      </c>
      <c r="K214" s="85">
        <v>3437</v>
      </c>
      <c r="L214" s="373"/>
      <c r="M214" s="374">
        <v>1266.0999999999999</v>
      </c>
      <c r="N214" s="48">
        <v>1450</v>
      </c>
      <c r="O214" s="10">
        <v>0.15</v>
      </c>
      <c r="P214" s="11">
        <v>0.05</v>
      </c>
      <c r="Q214" s="9">
        <v>4.0000000000000036E-2</v>
      </c>
      <c r="S214" s="69">
        <f>1520*1.1</f>
        <v>1672.0000000000002</v>
      </c>
      <c r="T214" s="862"/>
    </row>
    <row r="215" spans="1:20" ht="57" customHeight="1" thickBot="1">
      <c r="A215" s="554"/>
      <c r="B215" s="122"/>
      <c r="C215" s="495" t="s">
        <v>87</v>
      </c>
      <c r="D215" s="97" t="s">
        <v>113</v>
      </c>
      <c r="E215" s="630"/>
      <c r="F215" s="503"/>
      <c r="G215" s="549"/>
      <c r="H215" s="533"/>
      <c r="I215" s="568"/>
      <c r="J215" s="92">
        <f>ROUND(K215+K215*O215,0)</f>
        <v>3953</v>
      </c>
      <c r="K215" s="85">
        <v>3437</v>
      </c>
      <c r="L215" s="373"/>
      <c r="M215" s="374">
        <v>1266.0999999999999</v>
      </c>
      <c r="N215" s="55">
        <v>1450</v>
      </c>
      <c r="O215" s="10">
        <v>0.15</v>
      </c>
      <c r="P215" s="11">
        <v>0.05</v>
      </c>
      <c r="Q215" s="9">
        <v>4.0000000000000036E-2</v>
      </c>
      <c r="S215" s="69"/>
      <c r="T215" s="862"/>
    </row>
    <row r="216" spans="1:20" ht="57" customHeight="1" thickBot="1">
      <c r="A216" s="554"/>
      <c r="B216" s="122"/>
      <c r="C216" s="495" t="s">
        <v>85</v>
      </c>
      <c r="D216" s="97" t="s">
        <v>113</v>
      </c>
      <c r="E216" s="630"/>
      <c r="F216" s="503"/>
      <c r="G216" s="549"/>
      <c r="H216" s="533"/>
      <c r="I216" s="568"/>
      <c r="J216" s="92">
        <f>ROUND(K216+K216*O216,0)</f>
        <v>3953</v>
      </c>
      <c r="K216" s="85">
        <v>3437</v>
      </c>
      <c r="L216" s="373"/>
      <c r="M216" s="374">
        <v>1266.0999999999999</v>
      </c>
      <c r="N216" s="48">
        <v>1450</v>
      </c>
      <c r="O216" s="10">
        <v>0.15</v>
      </c>
      <c r="P216" s="11">
        <v>0.05</v>
      </c>
      <c r="Q216" s="9">
        <v>4.0000000000000036E-2</v>
      </c>
      <c r="S216" s="69"/>
      <c r="T216" s="862"/>
    </row>
    <row r="217" spans="1:20" ht="57" customHeight="1" thickBot="1">
      <c r="A217" s="554"/>
      <c r="B217" s="630"/>
      <c r="C217" s="495" t="s">
        <v>83</v>
      </c>
      <c r="D217" s="97" t="s">
        <v>113</v>
      </c>
      <c r="E217" s="630"/>
      <c r="F217" s="503"/>
      <c r="G217" s="549"/>
      <c r="H217" s="533"/>
      <c r="I217" s="568"/>
      <c r="J217" s="92">
        <f>ROUND(K217+K217*O217,0)</f>
        <v>3953</v>
      </c>
      <c r="K217" s="85">
        <v>3437</v>
      </c>
      <c r="L217" s="373"/>
      <c r="M217" s="374">
        <v>1266.0999999999999</v>
      </c>
      <c r="N217" s="48">
        <v>1450</v>
      </c>
      <c r="O217" s="10">
        <v>0.15</v>
      </c>
      <c r="P217" s="11">
        <v>0.05</v>
      </c>
      <c r="Q217" s="9">
        <v>4.0000000000000036E-2</v>
      </c>
      <c r="S217" s="69"/>
      <c r="T217" s="862"/>
    </row>
    <row r="218" spans="1:20" ht="57" customHeight="1" thickBot="1">
      <c r="A218" s="555"/>
      <c r="B218" s="670"/>
      <c r="C218" s="504" t="s">
        <v>6</v>
      </c>
      <c r="D218" s="99" t="s">
        <v>113</v>
      </c>
      <c r="E218" s="670" t="s">
        <v>26</v>
      </c>
      <c r="F218" s="504"/>
      <c r="G218" s="562">
        <v>4.8</v>
      </c>
      <c r="H218" s="534">
        <v>1818</v>
      </c>
      <c r="I218" s="569">
        <v>11</v>
      </c>
      <c r="J218" s="92">
        <f>ROUND(K218+K218*O218,0)</f>
        <v>3624</v>
      </c>
      <c r="K218" s="85">
        <v>3151</v>
      </c>
      <c r="L218" s="373"/>
      <c r="M218" s="374">
        <v>1423.73</v>
      </c>
      <c r="N218" s="13">
        <v>1600</v>
      </c>
      <c r="O218" s="10">
        <v>0.15</v>
      </c>
      <c r="P218" s="11">
        <v>0.05</v>
      </c>
      <c r="Q218" s="9">
        <v>2.0000000000000018E-2</v>
      </c>
      <c r="S218" s="69">
        <f>1709*1.1</f>
        <v>1879.9</v>
      </c>
      <c r="T218" s="862"/>
    </row>
    <row r="219" spans="1:20" s="74" customFormat="1" ht="16.2" thickBot="1">
      <c r="A219" s="535" t="s">
        <v>211</v>
      </c>
      <c r="B219" s="536"/>
      <c r="C219" s="536"/>
      <c r="D219" s="536"/>
      <c r="E219" s="536"/>
      <c r="F219" s="536"/>
      <c r="G219" s="536"/>
      <c r="H219" s="536"/>
      <c r="I219" s="536"/>
      <c r="J219" s="536"/>
      <c r="K219" s="536"/>
      <c r="L219" s="373"/>
      <c r="M219" s="374">
        <v>0</v>
      </c>
      <c r="N219" s="378"/>
      <c r="O219" s="88" t="e">
        <v>#DIV/0!</v>
      </c>
      <c r="P219" s="89" t="e">
        <v>#DIV/0!</v>
      </c>
      <c r="Q219" s="87" t="e">
        <v>#DIV/0!</v>
      </c>
      <c r="S219" s="139"/>
      <c r="T219" s="862"/>
    </row>
    <row r="220" spans="1:20" s="74" customFormat="1" ht="15.75" customHeight="1" thickBot="1">
      <c r="A220" s="513" t="s">
        <v>214</v>
      </c>
      <c r="B220" s="514"/>
      <c r="C220" s="514"/>
      <c r="D220" s="514"/>
      <c r="E220" s="514"/>
      <c r="F220" s="514"/>
      <c r="G220" s="514"/>
      <c r="H220" s="514"/>
      <c r="I220" s="514"/>
      <c r="J220" s="514"/>
      <c r="K220" s="514"/>
      <c r="L220" s="373"/>
      <c r="M220" s="374">
        <v>0</v>
      </c>
      <c r="N220" s="379"/>
      <c r="O220" s="88" t="e">
        <v>#DIV/0!</v>
      </c>
      <c r="P220" s="89" t="e">
        <v>#DIV/0!</v>
      </c>
      <c r="Q220" s="87" t="e">
        <v>#DIV/0!</v>
      </c>
      <c r="S220" s="139"/>
      <c r="T220" s="862"/>
    </row>
    <row r="221" spans="1:20" s="74" customFormat="1" ht="53.25" customHeight="1" thickBot="1">
      <c r="A221" s="308">
        <v>1</v>
      </c>
      <c r="B221" s="309"/>
      <c r="C221" s="669" t="s">
        <v>6</v>
      </c>
      <c r="D221" s="108" t="s">
        <v>113</v>
      </c>
      <c r="E221" s="629" t="s">
        <v>19</v>
      </c>
      <c r="F221" s="321" t="s">
        <v>55</v>
      </c>
      <c r="G221" s="548">
        <v>8</v>
      </c>
      <c r="H221" s="531">
        <v>1702</v>
      </c>
      <c r="I221" s="566">
        <v>11</v>
      </c>
      <c r="J221" s="84">
        <f>ROUND(K221+K221*O221,0)</f>
        <v>2376</v>
      </c>
      <c r="K221" s="85">
        <v>1980</v>
      </c>
      <c r="L221" s="373"/>
      <c r="M221" s="374">
        <v>751.69</v>
      </c>
      <c r="N221" s="18">
        <v>845</v>
      </c>
      <c r="O221" s="88">
        <v>0.2</v>
      </c>
      <c r="P221" s="89">
        <v>0.1</v>
      </c>
      <c r="Q221" s="87">
        <v>0.02</v>
      </c>
      <c r="S221" s="139">
        <f>902*1.1</f>
        <v>992.2</v>
      </c>
      <c r="T221" s="862"/>
    </row>
    <row r="222" spans="1:20" ht="16.2" thickBot="1">
      <c r="A222" s="535" t="s">
        <v>212</v>
      </c>
      <c r="B222" s="536"/>
      <c r="C222" s="536"/>
      <c r="D222" s="536"/>
      <c r="E222" s="536"/>
      <c r="F222" s="536"/>
      <c r="G222" s="536"/>
      <c r="H222" s="536"/>
      <c r="I222" s="536"/>
      <c r="J222" s="536"/>
      <c r="K222" s="536"/>
      <c r="L222" s="373"/>
      <c r="M222" s="374">
        <v>0</v>
      </c>
      <c r="N222" s="380"/>
      <c r="O222" s="10" t="e">
        <v>#DIV/0!</v>
      </c>
      <c r="P222" s="11" t="e">
        <v>#DIV/0!</v>
      </c>
      <c r="Q222" s="9" t="e">
        <v>#DIV/0!</v>
      </c>
      <c r="S222" s="69"/>
      <c r="T222" s="862"/>
    </row>
    <row r="223" spans="1:20" ht="15" thickBot="1">
      <c r="A223" s="556" t="s">
        <v>213</v>
      </c>
      <c r="B223" s="557"/>
      <c r="C223" s="557"/>
      <c r="D223" s="557"/>
      <c r="E223" s="557"/>
      <c r="F223" s="557"/>
      <c r="G223" s="557"/>
      <c r="H223" s="557"/>
      <c r="I223" s="557"/>
      <c r="J223" s="557"/>
      <c r="K223" s="557"/>
      <c r="L223" s="373"/>
      <c r="M223" s="374">
        <v>0</v>
      </c>
      <c r="N223" s="381"/>
      <c r="O223" s="10" t="e">
        <v>#DIV/0!</v>
      </c>
      <c r="P223" s="11" t="e">
        <v>#DIV/0!</v>
      </c>
      <c r="Q223" s="9" t="e">
        <v>#DIV/0!</v>
      </c>
      <c r="S223" s="69"/>
      <c r="T223" s="862"/>
    </row>
    <row r="224" spans="1:20" ht="51" customHeight="1">
      <c r="A224" s="353">
        <v>1</v>
      </c>
      <c r="B224" s="449"/>
      <c r="C224" s="102" t="s">
        <v>73</v>
      </c>
      <c r="D224" s="108" t="s">
        <v>113</v>
      </c>
      <c r="E224" s="366" t="s">
        <v>74</v>
      </c>
      <c r="F224" s="386"/>
      <c r="G224" s="133">
        <v>120</v>
      </c>
      <c r="H224" s="109">
        <v>1260</v>
      </c>
      <c r="I224" s="102">
        <v>15</v>
      </c>
      <c r="J224" s="648">
        <f>K224*1.1</f>
        <v>113.30000000000001</v>
      </c>
      <c r="K224" s="172">
        <v>103</v>
      </c>
      <c r="L224" s="373"/>
      <c r="M224" s="374">
        <v>38.979999999999997</v>
      </c>
      <c r="N224" s="552">
        <v>46</v>
      </c>
      <c r="O224" s="10">
        <v>0.11</v>
      </c>
      <c r="P224" s="11">
        <v>0.06</v>
      </c>
      <c r="Q224" s="9">
        <v>0.02</v>
      </c>
      <c r="S224" s="69">
        <f>47*1.1</f>
        <v>51.7</v>
      </c>
      <c r="T224" s="862"/>
    </row>
    <row r="225" spans="1:20" ht="51.75" customHeight="1" thickBot="1">
      <c r="A225" s="354">
        <v>2</v>
      </c>
      <c r="B225" s="430"/>
      <c r="C225" s="107" t="s">
        <v>75</v>
      </c>
      <c r="D225" s="99" t="s">
        <v>113</v>
      </c>
      <c r="E225" s="368" t="s">
        <v>74</v>
      </c>
      <c r="F225" s="387"/>
      <c r="G225" s="132">
        <v>120</v>
      </c>
      <c r="H225" s="106" t="s">
        <v>76</v>
      </c>
      <c r="I225" s="107">
        <v>22</v>
      </c>
      <c r="J225" s="478">
        <f>K225*1.1</f>
        <v>114.4</v>
      </c>
      <c r="K225" s="4">
        <v>104</v>
      </c>
      <c r="L225" s="382"/>
      <c r="M225" s="383">
        <v>38.14</v>
      </c>
      <c r="N225" s="555">
        <v>45</v>
      </c>
      <c r="O225" s="10">
        <v>0.11</v>
      </c>
      <c r="P225" s="11">
        <v>0.08</v>
      </c>
      <c r="Q225" s="9">
        <v>0.02</v>
      </c>
      <c r="S225" s="69">
        <f>46*1.1</f>
        <v>50.6</v>
      </c>
      <c r="T225" s="862"/>
    </row>
    <row r="227" spans="1:20" s="447" customFormat="1" ht="22.5" customHeight="1">
      <c r="A227" s="450"/>
      <c r="B227" s="445" t="s">
        <v>148</v>
      </c>
      <c r="C227" s="445"/>
      <c r="D227" s="445"/>
      <c r="E227" s="445"/>
      <c r="F227" s="445"/>
      <c r="G227" s="445"/>
      <c r="H227" s="445"/>
      <c r="I227" s="445"/>
      <c r="J227" s="445"/>
      <c r="K227" s="445"/>
      <c r="L227" s="445"/>
      <c r="M227" s="445"/>
      <c r="N227" s="446"/>
      <c r="S227" s="448"/>
    </row>
  </sheetData>
  <sheetProtection formatCells="0" formatColumns="0" formatRows="0" insertRows="0" insertHyperlinks="0" deleteColumns="0" deleteRows="0" sort="0" autoFilter="0" pivotTables="0"/>
  <mergeCells count="4">
    <mergeCell ref="V1:Y1"/>
    <mergeCell ref="V2:Y2"/>
    <mergeCell ref="V3:Y3"/>
    <mergeCell ref="V4:Y4"/>
  </mergeCells>
  <pageMargins left="0.25" right="0.25" top="0.75" bottom="0.75" header="0.3" footer="0.3"/>
  <pageSetup paperSize="9" scale="27" fitToHeight="0" orientation="portrait" r:id="rId1"/>
  <ignoredErrors>
    <ignoredError sqref="J129" formula="1"/>
  </ignoredErrors>
  <drawing r:id="rId2"/>
  <legacyDrawing r:id="rId3"/>
  <oleObjects>
    <oleObject progId="Paint.Picture" shapeId="1025" r:id="rId4"/>
    <oleObject progId="Paint.Picture" shapeId="1026" r:id="rId5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4:Q210"/>
  <sheetViews>
    <sheetView topLeftCell="A4" workbookViewId="0">
      <selection activeCell="T11" sqref="T11"/>
    </sheetView>
  </sheetViews>
  <sheetFormatPr defaultRowHeight="14.4"/>
  <sheetData>
    <row r="4" spans="1:17" ht="18">
      <c r="A4" s="65"/>
      <c r="B4" s="74"/>
      <c r="C4" s="74"/>
      <c r="D4" s="66"/>
      <c r="E4" s="74"/>
      <c r="F4" s="74"/>
      <c r="G4" s="74"/>
      <c r="H4" s="74"/>
      <c r="I4" s="74"/>
      <c r="J4" s="74"/>
      <c r="K4" s="438"/>
      <c r="L4" s="436"/>
      <c r="M4" s="860" t="s">
        <v>144</v>
      </c>
      <c r="N4" s="860"/>
      <c r="O4" s="860"/>
      <c r="P4" s="860"/>
      <c r="Q4" s="74"/>
    </row>
    <row r="5" spans="1:17" ht="18">
      <c r="A5" s="65"/>
      <c r="B5" s="74"/>
      <c r="C5" s="74"/>
      <c r="D5" s="66"/>
      <c r="E5" s="74"/>
      <c r="F5" s="74"/>
      <c r="G5" s="74"/>
      <c r="H5" s="74"/>
      <c r="I5" s="74"/>
      <c r="J5" s="74"/>
      <c r="K5" s="436"/>
      <c r="L5" s="437"/>
      <c r="M5" s="861" t="s">
        <v>147</v>
      </c>
      <c r="N5" s="861"/>
      <c r="O5" s="861"/>
      <c r="P5" s="861"/>
      <c r="Q5" s="74"/>
    </row>
    <row r="6" spans="1:17" ht="18">
      <c r="A6" s="65"/>
      <c r="B6" s="74"/>
      <c r="C6" s="74"/>
      <c r="D6" s="66"/>
      <c r="E6" s="74"/>
      <c r="F6" s="74"/>
      <c r="G6" s="74"/>
      <c r="H6" s="74"/>
      <c r="I6" s="74"/>
      <c r="J6" s="74"/>
      <c r="K6" s="437"/>
      <c r="L6" s="437"/>
      <c r="M6" s="861" t="s">
        <v>146</v>
      </c>
      <c r="N6" s="861"/>
      <c r="O6" s="861"/>
      <c r="P6" s="861"/>
      <c r="Q6" s="74"/>
    </row>
    <row r="7" spans="1:17" ht="18">
      <c r="A7" s="65"/>
      <c r="B7" s="74"/>
      <c r="C7" s="74"/>
      <c r="D7" s="66"/>
      <c r="E7" s="74"/>
      <c r="F7" s="74"/>
      <c r="G7" s="74"/>
      <c r="H7" s="74"/>
      <c r="I7" s="74"/>
      <c r="J7" s="74"/>
      <c r="K7" s="437"/>
      <c r="L7" s="437"/>
      <c r="M7" s="861" t="s">
        <v>145</v>
      </c>
      <c r="N7" s="861"/>
      <c r="O7" s="861"/>
      <c r="P7" s="861"/>
      <c r="Q7" s="74"/>
    </row>
    <row r="8" spans="1:17" ht="17.399999999999999">
      <c r="A8" s="719"/>
      <c r="B8" s="719"/>
      <c r="C8" s="719"/>
      <c r="D8" s="719"/>
      <c r="E8" s="719"/>
      <c r="F8" s="719"/>
      <c r="G8" s="719"/>
      <c r="H8" s="719"/>
      <c r="I8" s="719"/>
      <c r="J8" s="719"/>
      <c r="K8" s="437"/>
      <c r="L8" s="437"/>
      <c r="M8" s="437"/>
      <c r="N8" s="437"/>
      <c r="O8" s="74"/>
      <c r="P8" s="74"/>
      <c r="Q8" s="74"/>
    </row>
    <row r="9" spans="1:17" ht="16.2" thickBot="1">
      <c r="A9" s="720" t="s">
        <v>130</v>
      </c>
      <c r="B9" s="720"/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4"/>
      <c r="P9" s="74"/>
      <c r="Q9" s="74"/>
    </row>
    <row r="10" spans="1:17" ht="117.6" thickBot="1">
      <c r="A10" s="75" t="s">
        <v>0</v>
      </c>
      <c r="B10" s="679" t="s">
        <v>5</v>
      </c>
      <c r="C10" s="680"/>
      <c r="D10" s="681"/>
      <c r="E10" s="76" t="s">
        <v>7</v>
      </c>
      <c r="F10" s="76" t="s">
        <v>16</v>
      </c>
      <c r="G10" s="76" t="s">
        <v>32</v>
      </c>
      <c r="H10" s="77" t="s">
        <v>8</v>
      </c>
      <c r="I10" s="76" t="s">
        <v>25</v>
      </c>
      <c r="J10" s="78" t="s">
        <v>33</v>
      </c>
      <c r="K10" s="76" t="s">
        <v>56</v>
      </c>
      <c r="L10" s="77" t="s">
        <v>82</v>
      </c>
      <c r="M10" s="76" t="s">
        <v>53</v>
      </c>
      <c r="N10" s="79" t="s">
        <v>54</v>
      </c>
      <c r="O10" s="74">
        <v>1.05</v>
      </c>
      <c r="P10" s="76" t="s">
        <v>119</v>
      </c>
      <c r="Q10" s="76" t="s">
        <v>120</v>
      </c>
    </row>
    <row r="11" spans="1:17" ht="16.2" thickBot="1">
      <c r="A11" s="682" t="s">
        <v>139</v>
      </c>
      <c r="B11" s="683"/>
      <c r="C11" s="683"/>
      <c r="D11" s="683"/>
      <c r="E11" s="683"/>
      <c r="F11" s="683"/>
      <c r="G11" s="683"/>
      <c r="H11" s="683"/>
      <c r="I11" s="683"/>
      <c r="J11" s="683"/>
      <c r="K11" s="683"/>
      <c r="L11" s="683"/>
      <c r="M11" s="683"/>
      <c r="N11" s="684"/>
      <c r="O11" s="134"/>
      <c r="P11" s="135">
        <v>0</v>
      </c>
      <c r="Q11" s="54"/>
    </row>
    <row r="12" spans="1:17" ht="15" thickBot="1">
      <c r="A12" s="688" t="s">
        <v>3</v>
      </c>
      <c r="B12" s="689"/>
      <c r="C12" s="689"/>
      <c r="D12" s="689"/>
      <c r="E12" s="689"/>
      <c r="F12" s="689"/>
      <c r="G12" s="689"/>
      <c r="H12" s="689"/>
      <c r="I12" s="689"/>
      <c r="J12" s="689"/>
      <c r="K12" s="689"/>
      <c r="L12" s="689"/>
      <c r="M12" s="689"/>
      <c r="N12" s="690"/>
      <c r="O12" s="7"/>
      <c r="P12" s="7"/>
      <c r="Q12" s="8"/>
    </row>
    <row r="13" spans="1:17" ht="43.8" thickBot="1">
      <c r="A13" s="149">
        <v>1</v>
      </c>
      <c r="B13" s="399"/>
      <c r="C13" s="81" t="s">
        <v>83</v>
      </c>
      <c r="D13" s="82" t="s">
        <v>78</v>
      </c>
      <c r="E13" s="83" t="s">
        <v>11</v>
      </c>
      <c r="F13" s="321">
        <v>70</v>
      </c>
      <c r="G13" s="129">
        <v>9.42</v>
      </c>
      <c r="H13" s="110">
        <v>1499</v>
      </c>
      <c r="I13" s="191">
        <v>13</v>
      </c>
      <c r="J13" s="84">
        <f>M13*1.3</f>
        <v>1605.5</v>
      </c>
      <c r="K13" s="85">
        <f>J13*0.95</f>
        <v>1525.2249999999999</v>
      </c>
      <c r="L13" s="73">
        <f>M13*1.05</f>
        <v>1296.75</v>
      </c>
      <c r="M13" s="85">
        <f>ROUND(1176*1.05,0)</f>
        <v>1235</v>
      </c>
      <c r="N13" s="86">
        <f>ROUND(M13/1.2,2)</f>
        <v>1029.17</v>
      </c>
      <c r="O13" s="134"/>
      <c r="P13" s="135">
        <v>873.73</v>
      </c>
      <c r="Q13" s="229">
        <v>1001</v>
      </c>
    </row>
    <row r="14" spans="1:17" ht="15" thickBot="1">
      <c r="A14" s="685" t="s">
        <v>23</v>
      </c>
      <c r="B14" s="686"/>
      <c r="C14" s="686"/>
      <c r="D14" s="686"/>
      <c r="E14" s="686"/>
      <c r="F14" s="686"/>
      <c r="G14" s="686"/>
      <c r="H14" s="686"/>
      <c r="I14" s="686"/>
      <c r="J14" s="686"/>
      <c r="K14" s="686"/>
      <c r="L14" s="686"/>
      <c r="M14" s="686"/>
      <c r="N14" s="687"/>
      <c r="O14" s="134"/>
      <c r="P14" s="135">
        <v>0</v>
      </c>
      <c r="Q14" s="74"/>
    </row>
    <row r="15" spans="1:17" ht="18.600000000000001" thickBot="1">
      <c r="A15" s="693">
        <v>2</v>
      </c>
      <c r="B15" s="397"/>
      <c r="C15" s="337" t="s">
        <v>6</v>
      </c>
      <c r="D15" s="100" t="s">
        <v>78</v>
      </c>
      <c r="E15" s="691" t="s">
        <v>24</v>
      </c>
      <c r="F15" s="319">
        <v>60</v>
      </c>
      <c r="G15" s="255">
        <v>13.39</v>
      </c>
      <c r="H15" s="236">
        <v>1734</v>
      </c>
      <c r="I15" s="112">
        <v>11</v>
      </c>
      <c r="J15" s="171">
        <f>M15*1.1</f>
        <v>985.60000000000014</v>
      </c>
      <c r="K15" s="172">
        <f>J15*0.97</f>
        <v>956.03200000000015</v>
      </c>
      <c r="L15" s="173">
        <f>M15*1.03</f>
        <v>922.88</v>
      </c>
      <c r="M15" s="172">
        <f>ROUND(853*1.05,0)</f>
        <v>896</v>
      </c>
      <c r="N15" s="174">
        <f>ROUND(M15/1.2,2)</f>
        <v>746.67</v>
      </c>
      <c r="O15" s="134"/>
      <c r="P15" s="135">
        <v>591.53</v>
      </c>
      <c r="Q15" s="12">
        <v>665</v>
      </c>
    </row>
    <row r="16" spans="1:17" ht="29.4" thickBot="1">
      <c r="A16" s="694"/>
      <c r="B16" s="398"/>
      <c r="C16" s="339" t="s">
        <v>85</v>
      </c>
      <c r="D16" s="105" t="s">
        <v>78</v>
      </c>
      <c r="E16" s="692"/>
      <c r="F16" s="320">
        <v>60</v>
      </c>
      <c r="G16" s="256">
        <v>13.39</v>
      </c>
      <c r="H16" s="238">
        <v>1734</v>
      </c>
      <c r="I16" s="148">
        <v>11</v>
      </c>
      <c r="J16" s="177">
        <f>M16*1.3</f>
        <v>1439.1000000000001</v>
      </c>
      <c r="K16" s="4">
        <f>J16*0.95</f>
        <v>1367.145</v>
      </c>
      <c r="L16" s="178">
        <f>M16*1.05</f>
        <v>1162.3500000000001</v>
      </c>
      <c r="M16" s="4">
        <f>ROUND(1054*1.05,0)</f>
        <v>1107</v>
      </c>
      <c r="N16" s="179">
        <f>ROUND(M16/1.2,2)</f>
        <v>922.5</v>
      </c>
      <c r="O16" s="134"/>
      <c r="P16" s="135">
        <v>782.2</v>
      </c>
      <c r="Q16" s="12">
        <v>896</v>
      </c>
    </row>
    <row r="17" spans="1:17" ht="15" thickBot="1">
      <c r="A17" s="688" t="s">
        <v>80</v>
      </c>
      <c r="B17" s="689"/>
      <c r="C17" s="689"/>
      <c r="D17" s="689"/>
      <c r="E17" s="689"/>
      <c r="F17" s="689"/>
      <c r="G17" s="689"/>
      <c r="H17" s="689"/>
      <c r="I17" s="689"/>
      <c r="J17" s="689"/>
      <c r="K17" s="689"/>
      <c r="L17" s="689"/>
      <c r="M17" s="689"/>
      <c r="N17" s="690"/>
      <c r="O17" s="134"/>
      <c r="P17" s="135">
        <v>0</v>
      </c>
      <c r="Q17" s="74"/>
    </row>
    <row r="18" spans="1:17" ht="18.600000000000001" thickBot="1">
      <c r="A18" s="698">
        <v>3</v>
      </c>
      <c r="B18" s="390"/>
      <c r="C18" s="207" t="s">
        <v>6</v>
      </c>
      <c r="D18" s="195" t="s">
        <v>78</v>
      </c>
      <c r="E18" s="856" t="s">
        <v>65</v>
      </c>
      <c r="F18" s="701">
        <v>60</v>
      </c>
      <c r="G18" s="857">
        <v>13.44</v>
      </c>
      <c r="H18" s="858">
        <v>1880</v>
      </c>
      <c r="I18" s="859">
        <v>10</v>
      </c>
      <c r="J18" s="85">
        <f>M18*1.1</f>
        <v>751.30000000000007</v>
      </c>
      <c r="K18" s="85">
        <f>J18*0.97</f>
        <v>728.76100000000008</v>
      </c>
      <c r="L18" s="73">
        <f>M18*1.03</f>
        <v>703.49</v>
      </c>
      <c r="M18" s="85">
        <f>ROUND(650*1.05,0)</f>
        <v>683</v>
      </c>
      <c r="N18" s="86">
        <f>ROUND(M18/1.2,2)</f>
        <v>569.16999999999996</v>
      </c>
      <c r="O18" s="134"/>
      <c r="P18" s="135">
        <v>450.85</v>
      </c>
      <c r="Q18" s="226">
        <v>507</v>
      </c>
    </row>
    <row r="19" spans="1:17" ht="18">
      <c r="A19" s="699"/>
      <c r="B19" s="400"/>
      <c r="C19" s="268" t="s">
        <v>14</v>
      </c>
      <c r="D19" s="168" t="s">
        <v>78</v>
      </c>
      <c r="E19" s="848"/>
      <c r="F19" s="702"/>
      <c r="G19" s="850"/>
      <c r="H19" s="852"/>
      <c r="I19" s="854"/>
      <c r="J19" s="695">
        <f>ROUND(M19*1.15,0)</f>
        <v>909</v>
      </c>
      <c r="K19" s="695">
        <f>J19*0.95</f>
        <v>863.55</v>
      </c>
      <c r="L19" s="695">
        <f>M19*1.04</f>
        <v>821.6</v>
      </c>
      <c r="M19" s="731">
        <f>ROUND(752*1.05,0)</f>
        <v>790</v>
      </c>
      <c r="N19" s="728">
        <f>ROUND(M19/1.2,2)</f>
        <v>658.33</v>
      </c>
      <c r="O19" s="134"/>
      <c r="P19" s="716">
        <v>521.19000000000005</v>
      </c>
      <c r="Q19" s="695">
        <v>586</v>
      </c>
    </row>
    <row r="20" spans="1:17" ht="18">
      <c r="A20" s="699"/>
      <c r="B20" s="402"/>
      <c r="C20" s="266" t="s">
        <v>47</v>
      </c>
      <c r="D20" s="156" t="s">
        <v>78</v>
      </c>
      <c r="E20" s="848"/>
      <c r="F20" s="702"/>
      <c r="G20" s="850"/>
      <c r="H20" s="852"/>
      <c r="I20" s="854"/>
      <c r="J20" s="696"/>
      <c r="K20" s="696"/>
      <c r="L20" s="696"/>
      <c r="M20" s="729"/>
      <c r="N20" s="705"/>
      <c r="O20" s="134"/>
      <c r="P20" s="716"/>
      <c r="Q20" s="696"/>
    </row>
    <row r="21" spans="1:17" ht="18">
      <c r="A21" s="699"/>
      <c r="B21" s="391"/>
      <c r="C21" s="266" t="s">
        <v>44</v>
      </c>
      <c r="D21" s="156" t="s">
        <v>78</v>
      </c>
      <c r="E21" s="848"/>
      <c r="F21" s="702"/>
      <c r="G21" s="850"/>
      <c r="H21" s="852"/>
      <c r="I21" s="854"/>
      <c r="J21" s="696"/>
      <c r="K21" s="696"/>
      <c r="L21" s="696"/>
      <c r="M21" s="729"/>
      <c r="N21" s="705"/>
      <c r="O21" s="134"/>
      <c r="P21" s="716"/>
      <c r="Q21" s="696"/>
    </row>
    <row r="22" spans="1:17" ht="18">
      <c r="A22" s="699"/>
      <c r="B22" s="393"/>
      <c r="C22" s="266" t="s">
        <v>49</v>
      </c>
      <c r="D22" s="156" t="s">
        <v>78</v>
      </c>
      <c r="E22" s="848"/>
      <c r="F22" s="702"/>
      <c r="G22" s="850"/>
      <c r="H22" s="852"/>
      <c r="I22" s="854"/>
      <c r="J22" s="696"/>
      <c r="K22" s="696"/>
      <c r="L22" s="696"/>
      <c r="M22" s="729"/>
      <c r="N22" s="705"/>
      <c r="O22" s="134"/>
      <c r="P22" s="716"/>
      <c r="Q22" s="696"/>
    </row>
    <row r="23" spans="1:17" ht="18">
      <c r="A23" s="699"/>
      <c r="B23" s="394"/>
      <c r="C23" s="266" t="s">
        <v>50</v>
      </c>
      <c r="D23" s="156" t="s">
        <v>78</v>
      </c>
      <c r="E23" s="848"/>
      <c r="F23" s="702"/>
      <c r="G23" s="850"/>
      <c r="H23" s="852"/>
      <c r="I23" s="854"/>
      <c r="J23" s="696"/>
      <c r="K23" s="696"/>
      <c r="L23" s="696"/>
      <c r="M23" s="729"/>
      <c r="N23" s="705"/>
      <c r="O23" s="134"/>
      <c r="P23" s="716"/>
      <c r="Q23" s="696"/>
    </row>
    <row r="24" spans="1:17" ht="18">
      <c r="A24" s="699"/>
      <c r="B24" s="395"/>
      <c r="C24" s="266" t="s">
        <v>51</v>
      </c>
      <c r="D24" s="156" t="s">
        <v>78</v>
      </c>
      <c r="E24" s="848" t="s">
        <v>66</v>
      </c>
      <c r="F24" s="702"/>
      <c r="G24" s="850">
        <v>11.4</v>
      </c>
      <c r="H24" s="852">
        <v>1606</v>
      </c>
      <c r="I24" s="854">
        <v>12</v>
      </c>
      <c r="J24" s="696"/>
      <c r="K24" s="696"/>
      <c r="L24" s="696"/>
      <c r="M24" s="729"/>
      <c r="N24" s="705"/>
      <c r="O24" s="134"/>
      <c r="P24" s="716"/>
      <c r="Q24" s="696"/>
    </row>
    <row r="25" spans="1:17" ht="18">
      <c r="A25" s="699"/>
      <c r="B25" s="392"/>
      <c r="C25" s="266" t="s">
        <v>52</v>
      </c>
      <c r="D25" s="156" t="s">
        <v>78</v>
      </c>
      <c r="E25" s="848"/>
      <c r="F25" s="702"/>
      <c r="G25" s="850"/>
      <c r="H25" s="852"/>
      <c r="I25" s="854"/>
      <c r="J25" s="696"/>
      <c r="K25" s="696"/>
      <c r="L25" s="696"/>
      <c r="M25" s="729"/>
      <c r="N25" s="705"/>
      <c r="O25" s="134"/>
      <c r="P25" s="716"/>
      <c r="Q25" s="696"/>
    </row>
    <row r="26" spans="1:17" ht="18.600000000000001" thickBot="1">
      <c r="A26" s="699"/>
      <c r="B26" s="396"/>
      <c r="C26" s="266" t="s">
        <v>38</v>
      </c>
      <c r="D26" s="156" t="s">
        <v>78</v>
      </c>
      <c r="E26" s="848"/>
      <c r="F26" s="702"/>
      <c r="G26" s="850"/>
      <c r="H26" s="852"/>
      <c r="I26" s="854"/>
      <c r="J26" s="696"/>
      <c r="K26" s="696"/>
      <c r="L26" s="696"/>
      <c r="M26" s="729"/>
      <c r="N26" s="705"/>
      <c r="O26" s="134"/>
      <c r="P26" s="716"/>
      <c r="Q26" s="697"/>
    </row>
    <row r="27" spans="1:17" ht="18.600000000000001" thickBot="1">
      <c r="A27" s="699"/>
      <c r="B27" s="404"/>
      <c r="C27" s="259" t="s">
        <v>48</v>
      </c>
      <c r="D27" s="167" t="s">
        <v>78</v>
      </c>
      <c r="E27" s="848"/>
      <c r="F27" s="702"/>
      <c r="G27" s="850"/>
      <c r="H27" s="852"/>
      <c r="I27" s="854"/>
      <c r="J27" s="697"/>
      <c r="K27" s="697"/>
      <c r="L27" s="697"/>
      <c r="M27" s="730"/>
      <c r="N27" s="706"/>
      <c r="O27" s="134"/>
      <c r="P27" s="135">
        <v>726.27</v>
      </c>
      <c r="Q27" s="13">
        <v>816</v>
      </c>
    </row>
    <row r="28" spans="1:17" ht="43.2">
      <c r="A28" s="699"/>
      <c r="B28" s="403"/>
      <c r="C28" s="265" t="s">
        <v>86</v>
      </c>
      <c r="D28" s="196" t="s">
        <v>78</v>
      </c>
      <c r="E28" s="848"/>
      <c r="F28" s="702"/>
      <c r="G28" s="850"/>
      <c r="H28" s="852"/>
      <c r="I28" s="854"/>
      <c r="J28" s="695">
        <f>M28*1.3</f>
        <v>1480.7</v>
      </c>
      <c r="K28" s="696">
        <f>J28*0.95</f>
        <v>1406.665</v>
      </c>
      <c r="L28" s="696">
        <f>M28*1.05</f>
        <v>1195.95</v>
      </c>
      <c r="M28" s="729">
        <f>ROUND(1085*1.05,0)</f>
        <v>1139</v>
      </c>
      <c r="N28" s="705">
        <f>ROUND(M28/1.2,2)</f>
        <v>949.17</v>
      </c>
      <c r="O28" s="134"/>
      <c r="P28" s="716">
        <v>805.08</v>
      </c>
      <c r="Q28" s="695">
        <v>922</v>
      </c>
    </row>
    <row r="29" spans="1:17" ht="28.8">
      <c r="A29" s="699"/>
      <c r="B29" s="401"/>
      <c r="C29" s="190" t="s">
        <v>85</v>
      </c>
      <c r="D29" s="157" t="s">
        <v>78</v>
      </c>
      <c r="E29" s="848"/>
      <c r="F29" s="702"/>
      <c r="G29" s="850"/>
      <c r="H29" s="852"/>
      <c r="I29" s="854"/>
      <c r="J29" s="696"/>
      <c r="K29" s="696"/>
      <c r="L29" s="696"/>
      <c r="M29" s="729"/>
      <c r="N29" s="705"/>
      <c r="O29" s="134"/>
      <c r="P29" s="716"/>
      <c r="Q29" s="696"/>
    </row>
    <row r="30" spans="1:17" ht="43.8" thickBot="1">
      <c r="A30" s="700"/>
      <c r="B30" s="405"/>
      <c r="C30" s="262" t="s">
        <v>87</v>
      </c>
      <c r="D30" s="197" t="s">
        <v>78</v>
      </c>
      <c r="E30" s="849"/>
      <c r="F30" s="703"/>
      <c r="G30" s="851"/>
      <c r="H30" s="853"/>
      <c r="I30" s="855"/>
      <c r="J30" s="697"/>
      <c r="K30" s="697"/>
      <c r="L30" s="697"/>
      <c r="M30" s="730"/>
      <c r="N30" s="706"/>
      <c r="O30" s="134"/>
      <c r="P30" s="716"/>
      <c r="Q30" s="697"/>
    </row>
    <row r="31" spans="1:17" ht="15" thickBot="1">
      <c r="A31" s="688" t="s">
        <v>61</v>
      </c>
      <c r="B31" s="689"/>
      <c r="C31" s="689"/>
      <c r="D31" s="689"/>
      <c r="E31" s="689"/>
      <c r="F31" s="689"/>
      <c r="G31" s="689"/>
      <c r="H31" s="689"/>
      <c r="I31" s="689"/>
      <c r="J31" s="689"/>
      <c r="K31" s="689"/>
      <c r="L31" s="689"/>
      <c r="M31" s="689"/>
      <c r="N31" s="690"/>
      <c r="O31" s="134"/>
      <c r="P31" s="135">
        <v>0</v>
      </c>
      <c r="Q31" s="14"/>
    </row>
    <row r="32" spans="1:17" ht="18.600000000000001" thickBot="1">
      <c r="A32" s="698">
        <v>4</v>
      </c>
      <c r="B32" s="406"/>
      <c r="C32" s="310" t="s">
        <v>6</v>
      </c>
      <c r="D32" s="100"/>
      <c r="E32" s="704" t="s">
        <v>126</v>
      </c>
      <c r="F32" s="707">
        <v>60</v>
      </c>
      <c r="G32" s="317">
        <v>11.29</v>
      </c>
      <c r="H32" s="314">
        <v>1606</v>
      </c>
      <c r="I32" s="315">
        <v>12</v>
      </c>
      <c r="J32" s="84">
        <f>M32*1.15</f>
        <v>871.69999999999993</v>
      </c>
      <c r="K32" s="85">
        <f>J32*0.97</f>
        <v>845.54899999999986</v>
      </c>
      <c r="L32" s="73">
        <f>M32*1.03</f>
        <v>780.74</v>
      </c>
      <c r="M32" s="85">
        <f>ROUND(722*1.05,0)</f>
        <v>758</v>
      </c>
      <c r="N32" s="86">
        <f>ROUND(M32/1.2,2)</f>
        <v>631.66999999999996</v>
      </c>
      <c r="O32" s="134"/>
      <c r="P32" s="135"/>
      <c r="Q32" s="19"/>
    </row>
    <row r="33" spans="1:17" ht="43.2">
      <c r="A33" s="699"/>
      <c r="B33" s="408"/>
      <c r="C33" s="234" t="s">
        <v>68</v>
      </c>
      <c r="D33" s="100" t="s">
        <v>78</v>
      </c>
      <c r="E33" s="714"/>
      <c r="F33" s="708"/>
      <c r="G33" s="318">
        <v>11.29</v>
      </c>
      <c r="H33" s="198">
        <v>1606</v>
      </c>
      <c r="I33" s="199">
        <v>12</v>
      </c>
      <c r="J33" s="171">
        <f>M33*1.3</f>
        <v>1605.5</v>
      </c>
      <c r="K33" s="172">
        <f>J33*0.95</f>
        <v>1525.2249999999999</v>
      </c>
      <c r="L33" s="173">
        <f>M33*1.05</f>
        <v>1296.75</v>
      </c>
      <c r="M33" s="172">
        <f>ROUND(1176*1.05,0)</f>
        <v>1235</v>
      </c>
      <c r="N33" s="174">
        <f>ROUND(M33/1.2,2)</f>
        <v>1029.17</v>
      </c>
      <c r="O33" s="134"/>
      <c r="P33" s="135">
        <v>873.73</v>
      </c>
      <c r="Q33" s="15">
        <v>1001</v>
      </c>
    </row>
    <row r="34" spans="1:17" ht="43.2">
      <c r="A34" s="699"/>
      <c r="B34" s="266"/>
      <c r="C34" s="203" t="s">
        <v>83</v>
      </c>
      <c r="D34" s="98" t="s">
        <v>78</v>
      </c>
      <c r="E34" s="714"/>
      <c r="F34" s="708"/>
      <c r="G34" s="131">
        <v>11.29</v>
      </c>
      <c r="H34" s="103">
        <v>1606</v>
      </c>
      <c r="I34" s="104">
        <v>12</v>
      </c>
      <c r="J34" s="175">
        <f>M34*1.3</f>
        <v>1605.5</v>
      </c>
      <c r="K34" s="3">
        <f>J34*0.95</f>
        <v>1525.2249999999999</v>
      </c>
      <c r="L34" s="30">
        <f>M34*1.05</f>
        <v>1296.75</v>
      </c>
      <c r="M34" s="3">
        <f>ROUND(1176*1.05,0)</f>
        <v>1235</v>
      </c>
      <c r="N34" s="176">
        <f>ROUND(M34/1.2,2)</f>
        <v>1029.17</v>
      </c>
      <c r="O34" s="134"/>
      <c r="P34" s="135">
        <v>873.73</v>
      </c>
      <c r="Q34" s="15">
        <v>1001</v>
      </c>
    </row>
    <row r="35" spans="1:17" ht="28.8">
      <c r="A35" s="699"/>
      <c r="B35" s="295"/>
      <c r="C35" s="203" t="s">
        <v>84</v>
      </c>
      <c r="D35" s="16" t="s">
        <v>78</v>
      </c>
      <c r="E35" s="714"/>
      <c r="F35" s="708"/>
      <c r="G35" s="131">
        <v>11.29</v>
      </c>
      <c r="H35" s="103">
        <v>1606</v>
      </c>
      <c r="I35" s="104">
        <v>12</v>
      </c>
      <c r="J35" s="175">
        <f>M35*1.3</f>
        <v>1605.5</v>
      </c>
      <c r="K35" s="3">
        <f>J35*0.95</f>
        <v>1525.2249999999999</v>
      </c>
      <c r="L35" s="30">
        <f>M35*1.05</f>
        <v>1296.75</v>
      </c>
      <c r="M35" s="3">
        <f>ROUND(1176*1.05,0)</f>
        <v>1235</v>
      </c>
      <c r="N35" s="176">
        <f>ROUND(M35/1.2,2)</f>
        <v>1029.17</v>
      </c>
      <c r="O35" s="134"/>
      <c r="P35" s="135">
        <v>873.73</v>
      </c>
      <c r="Q35" s="15">
        <v>1001</v>
      </c>
    </row>
    <row r="36" spans="1:17" ht="29.4" thickBot="1">
      <c r="A36" s="700"/>
      <c r="B36" s="407"/>
      <c r="C36" s="333" t="s">
        <v>70</v>
      </c>
      <c r="D36" s="105" t="s">
        <v>78</v>
      </c>
      <c r="E36" s="715"/>
      <c r="F36" s="709"/>
      <c r="G36" s="132">
        <v>11.29</v>
      </c>
      <c r="H36" s="106">
        <v>1606</v>
      </c>
      <c r="I36" s="107">
        <v>12</v>
      </c>
      <c r="J36" s="177">
        <f>M36*1.3</f>
        <v>1605.5</v>
      </c>
      <c r="K36" s="4">
        <f>J36*0.95</f>
        <v>1525.2249999999999</v>
      </c>
      <c r="L36" s="178">
        <f>M36*1.05</f>
        <v>1296.75</v>
      </c>
      <c r="M36" s="4">
        <f>ROUND(1176*1.05,0)</f>
        <v>1235</v>
      </c>
      <c r="N36" s="179">
        <f>ROUND(M36/1.2,2)</f>
        <v>1029.17</v>
      </c>
      <c r="O36" s="134"/>
      <c r="P36" s="135">
        <v>873.73</v>
      </c>
      <c r="Q36" s="15">
        <v>1001</v>
      </c>
    </row>
    <row r="37" spans="1:17" ht="15" thickBot="1">
      <c r="A37" s="688" t="s">
        <v>62</v>
      </c>
      <c r="B37" s="689"/>
      <c r="C37" s="689"/>
      <c r="D37" s="689"/>
      <c r="E37" s="689"/>
      <c r="F37" s="689"/>
      <c r="G37" s="689"/>
      <c r="H37" s="689"/>
      <c r="I37" s="689"/>
      <c r="J37" s="689"/>
      <c r="K37" s="689"/>
      <c r="L37" s="689"/>
      <c r="M37" s="689"/>
      <c r="N37" s="690"/>
      <c r="O37" s="134"/>
      <c r="P37" s="135">
        <v>0</v>
      </c>
      <c r="Q37" s="17"/>
    </row>
    <row r="38" spans="1:17" ht="18.600000000000001" thickBot="1">
      <c r="A38" s="693">
        <v>5</v>
      </c>
      <c r="B38" s="411"/>
      <c r="C38" s="311" t="s">
        <v>6</v>
      </c>
      <c r="D38" s="82"/>
      <c r="E38" s="704" t="s">
        <v>67</v>
      </c>
      <c r="F38" s="701">
        <v>60</v>
      </c>
      <c r="G38" s="331">
        <v>11.52</v>
      </c>
      <c r="H38" s="314">
        <v>1635</v>
      </c>
      <c r="I38" s="315">
        <v>12</v>
      </c>
      <c r="J38" s="84">
        <f>M38*1.15</f>
        <v>871.69999999999993</v>
      </c>
      <c r="K38" s="85">
        <f>J38*0.97</f>
        <v>845.54899999999986</v>
      </c>
      <c r="L38" s="73">
        <f>M38*1.03</f>
        <v>780.74</v>
      </c>
      <c r="M38" s="85">
        <f>ROUND(722*1.05,0)</f>
        <v>758</v>
      </c>
      <c r="N38" s="86">
        <f>ROUND(M38/1.2,2)</f>
        <v>631.66999999999996</v>
      </c>
      <c r="O38" s="134"/>
      <c r="P38" s="135">
        <v>501.69</v>
      </c>
      <c r="Q38" s="18">
        <v>564</v>
      </c>
    </row>
    <row r="39" spans="1:17" ht="57.6">
      <c r="A39" s="754"/>
      <c r="B39" s="409"/>
      <c r="C39" s="205" t="s">
        <v>69</v>
      </c>
      <c r="D39" s="192" t="s">
        <v>78</v>
      </c>
      <c r="E39" s="714"/>
      <c r="F39" s="702"/>
      <c r="G39" s="318">
        <v>11.52</v>
      </c>
      <c r="H39" s="198">
        <v>1635</v>
      </c>
      <c r="I39" s="199">
        <v>12</v>
      </c>
      <c r="J39" s="171">
        <f>M39*1.3</f>
        <v>1605.5</v>
      </c>
      <c r="K39" s="172">
        <f>J39*0.95</f>
        <v>1525.2249999999999</v>
      </c>
      <c r="L39" s="173">
        <f>M39*1.05</f>
        <v>1296.75</v>
      </c>
      <c r="M39" s="172">
        <f>ROUND(1176*1.05,0)</f>
        <v>1235</v>
      </c>
      <c r="N39" s="174">
        <f t="shared" ref="N39:N110" si="0">ROUND(M39/1.2,2)</f>
        <v>1029.17</v>
      </c>
      <c r="O39" s="134"/>
      <c r="P39" s="135">
        <v>873.73</v>
      </c>
      <c r="Q39" s="15">
        <v>1001</v>
      </c>
    </row>
    <row r="40" spans="1:17" ht="58.2" thickBot="1">
      <c r="A40" s="694"/>
      <c r="B40" s="410"/>
      <c r="C40" s="333" t="s">
        <v>88</v>
      </c>
      <c r="D40" s="105" t="s">
        <v>78</v>
      </c>
      <c r="E40" s="715"/>
      <c r="F40" s="703"/>
      <c r="G40" s="132">
        <v>11.52</v>
      </c>
      <c r="H40" s="106">
        <v>1635</v>
      </c>
      <c r="I40" s="107">
        <v>12</v>
      </c>
      <c r="J40" s="177">
        <f>M40*1.3</f>
        <v>1605.5</v>
      </c>
      <c r="K40" s="4">
        <f>J40*0.95</f>
        <v>1525.2249999999999</v>
      </c>
      <c r="L40" s="178">
        <f>M40*1.05</f>
        <v>1296.75</v>
      </c>
      <c r="M40" s="4">
        <f>ROUND(1176*1.05,0)</f>
        <v>1235</v>
      </c>
      <c r="N40" s="179">
        <f t="shared" si="0"/>
        <v>1029.17</v>
      </c>
      <c r="O40" s="134"/>
      <c r="P40" s="135">
        <v>873.73</v>
      </c>
      <c r="Q40" s="15">
        <v>1001</v>
      </c>
    </row>
    <row r="41" spans="1:17" ht="15" thickBot="1">
      <c r="A41" s="688" t="s">
        <v>63</v>
      </c>
      <c r="B41" s="689"/>
      <c r="C41" s="689"/>
      <c r="D41" s="689"/>
      <c r="E41" s="689"/>
      <c r="F41" s="689"/>
      <c r="G41" s="689"/>
      <c r="H41" s="689"/>
      <c r="I41" s="689"/>
      <c r="J41" s="689"/>
      <c r="K41" s="689"/>
      <c r="L41" s="689"/>
      <c r="M41" s="689"/>
      <c r="N41" s="690"/>
      <c r="O41" s="134"/>
      <c r="P41" s="135">
        <v>0</v>
      </c>
      <c r="Q41" s="19"/>
    </row>
    <row r="42" spans="1:17" ht="18.600000000000001" thickBot="1">
      <c r="A42" s="698">
        <v>6</v>
      </c>
      <c r="B42" s="412"/>
      <c r="C42" s="194" t="s">
        <v>6</v>
      </c>
      <c r="D42" s="356" t="s">
        <v>78</v>
      </c>
      <c r="E42" s="773" t="s">
        <v>60</v>
      </c>
      <c r="F42" s="732">
        <v>60</v>
      </c>
      <c r="G42" s="316">
        <v>12.96</v>
      </c>
      <c r="H42" s="312">
        <v>1850</v>
      </c>
      <c r="I42" s="313">
        <v>11</v>
      </c>
      <c r="J42" s="154">
        <f>M42*1.15</f>
        <v>871.69999999999993</v>
      </c>
      <c r="K42" s="227">
        <f>J42*0.97</f>
        <v>845.54899999999986</v>
      </c>
      <c r="L42" s="146">
        <f>M42*1.03</f>
        <v>780.74</v>
      </c>
      <c r="M42" s="227">
        <f>ROUND(722*1.05,0)</f>
        <v>758</v>
      </c>
      <c r="N42" s="181">
        <f t="shared" si="0"/>
        <v>631.66999999999996</v>
      </c>
      <c r="O42" s="134"/>
      <c r="P42" s="135">
        <v>501.69</v>
      </c>
      <c r="Q42" s="1">
        <v>564</v>
      </c>
    </row>
    <row r="43" spans="1:17" ht="18.600000000000001" thickBot="1">
      <c r="A43" s="699"/>
      <c r="B43" s="206"/>
      <c r="C43" s="194" t="s">
        <v>14</v>
      </c>
      <c r="D43" s="357" t="s">
        <v>78</v>
      </c>
      <c r="E43" s="774"/>
      <c r="F43" s="733"/>
      <c r="G43" s="316">
        <v>12.96</v>
      </c>
      <c r="H43" s="312">
        <v>1850</v>
      </c>
      <c r="I43" s="313">
        <v>11</v>
      </c>
      <c r="J43" s="154">
        <f>M43*1.15</f>
        <v>961.4</v>
      </c>
      <c r="K43" s="227">
        <f>J43*0.95</f>
        <v>913.32999999999993</v>
      </c>
      <c r="L43" s="146">
        <f>M43*1.04</f>
        <v>869.44</v>
      </c>
      <c r="M43" s="227">
        <f>ROUND(796*1.05,0)</f>
        <v>836</v>
      </c>
      <c r="N43" s="181">
        <f t="shared" si="0"/>
        <v>696.67</v>
      </c>
      <c r="O43" s="134"/>
      <c r="P43" s="135"/>
      <c r="Q43" s="70"/>
    </row>
    <row r="44" spans="1:17" ht="28.8">
      <c r="A44" s="699"/>
      <c r="B44" s="294"/>
      <c r="C44" s="170" t="s">
        <v>89</v>
      </c>
      <c r="D44" s="193" t="s">
        <v>78</v>
      </c>
      <c r="E44" s="774"/>
      <c r="F44" s="733"/>
      <c r="G44" s="200">
        <v>12.96</v>
      </c>
      <c r="H44" s="109">
        <v>1850</v>
      </c>
      <c r="I44" s="20">
        <v>11</v>
      </c>
      <c r="J44" s="171">
        <f>M44*1.3</f>
        <v>1605.5</v>
      </c>
      <c r="K44" s="172">
        <f>J44*0.95</f>
        <v>1525.2249999999999</v>
      </c>
      <c r="L44" s="173">
        <f>M44*1.05</f>
        <v>1296.75</v>
      </c>
      <c r="M44" s="172">
        <f>ROUND(1176*1.05,0)</f>
        <v>1235</v>
      </c>
      <c r="N44" s="174">
        <f t="shared" si="0"/>
        <v>1029.17</v>
      </c>
      <c r="O44" s="134"/>
      <c r="P44" s="135">
        <v>873.73</v>
      </c>
      <c r="Q44" s="3">
        <v>1001</v>
      </c>
    </row>
    <row r="45" spans="1:17" ht="28.8">
      <c r="A45" s="699"/>
      <c r="B45" s="225"/>
      <c r="C45" s="71" t="s">
        <v>90</v>
      </c>
      <c r="D45" s="21" t="s">
        <v>78</v>
      </c>
      <c r="E45" s="774"/>
      <c r="F45" s="733"/>
      <c r="G45" s="202">
        <v>12.96</v>
      </c>
      <c r="H45" s="22">
        <v>1850</v>
      </c>
      <c r="I45" s="23">
        <v>11</v>
      </c>
      <c r="J45" s="175">
        <f>M45*1.3</f>
        <v>1605.5</v>
      </c>
      <c r="K45" s="3">
        <f>J45*0.95</f>
        <v>1525.2249999999999</v>
      </c>
      <c r="L45" s="30">
        <f>M45*1.05</f>
        <v>1296.75</v>
      </c>
      <c r="M45" s="3">
        <f>ROUND(1176*1.05,0)</f>
        <v>1235</v>
      </c>
      <c r="N45" s="176">
        <f>ROUND(M45/1.2,2)</f>
        <v>1029.17</v>
      </c>
      <c r="O45" s="134"/>
      <c r="P45" s="135">
        <v>873.73</v>
      </c>
      <c r="Q45" s="3">
        <v>1001</v>
      </c>
    </row>
    <row r="46" spans="1:17" ht="28.8">
      <c r="A46" s="699"/>
      <c r="B46" s="414"/>
      <c r="C46" s="71" t="s">
        <v>131</v>
      </c>
      <c r="D46" s="193"/>
      <c r="E46" s="774"/>
      <c r="F46" s="733"/>
      <c r="G46" s="202">
        <v>12.96</v>
      </c>
      <c r="H46" s="22">
        <v>1850</v>
      </c>
      <c r="I46" s="23">
        <v>11</v>
      </c>
      <c r="J46" s="175">
        <f>M46*1.3</f>
        <v>1605.5</v>
      </c>
      <c r="K46" s="3">
        <f>J46*0.95</f>
        <v>1525.2249999999999</v>
      </c>
      <c r="L46" s="30">
        <f>M46*1.05</f>
        <v>1296.75</v>
      </c>
      <c r="M46" s="3">
        <f>ROUND(1176*1.05,0)</f>
        <v>1235</v>
      </c>
      <c r="N46" s="176">
        <f>ROUND(M46/1.2,2)</f>
        <v>1029.17</v>
      </c>
      <c r="O46" s="134"/>
      <c r="P46" s="135">
        <v>873.73</v>
      </c>
      <c r="Q46" s="3">
        <v>1001</v>
      </c>
    </row>
    <row r="47" spans="1:17" ht="29.4" thickBot="1">
      <c r="A47" s="700"/>
      <c r="B47" s="413"/>
      <c r="C47" s="72" t="s">
        <v>85</v>
      </c>
      <c r="D47" s="193" t="s">
        <v>78</v>
      </c>
      <c r="E47" s="775"/>
      <c r="F47" s="734"/>
      <c r="G47" s="201">
        <v>12.96</v>
      </c>
      <c r="H47" s="25">
        <v>1850</v>
      </c>
      <c r="I47" s="26">
        <v>11</v>
      </c>
      <c r="J47" s="177">
        <f>M47*1.3</f>
        <v>1605.5</v>
      </c>
      <c r="K47" s="4">
        <f>J47*0.95</f>
        <v>1525.2249999999999</v>
      </c>
      <c r="L47" s="178">
        <f>M47*1.05</f>
        <v>1296.75</v>
      </c>
      <c r="M47" s="4">
        <f>ROUND(1176*1.05,0)</f>
        <v>1235</v>
      </c>
      <c r="N47" s="179">
        <f>ROUND(M47/1.2,2)</f>
        <v>1029.17</v>
      </c>
      <c r="O47" s="134"/>
      <c r="P47" s="135">
        <v>873.73</v>
      </c>
      <c r="Q47" s="3">
        <v>1001</v>
      </c>
    </row>
    <row r="48" spans="1:17" ht="15" thickBot="1">
      <c r="A48" s="688" t="s">
        <v>71</v>
      </c>
      <c r="B48" s="689"/>
      <c r="C48" s="689"/>
      <c r="D48" s="689"/>
      <c r="E48" s="689"/>
      <c r="F48" s="689"/>
      <c r="G48" s="689"/>
      <c r="H48" s="689"/>
      <c r="I48" s="689"/>
      <c r="J48" s="689"/>
      <c r="K48" s="689"/>
      <c r="L48" s="689"/>
      <c r="M48" s="689"/>
      <c r="N48" s="690"/>
      <c r="O48" s="134"/>
      <c r="P48" s="135">
        <v>0</v>
      </c>
      <c r="Q48" s="17"/>
    </row>
    <row r="49" spans="1:17" ht="28.8">
      <c r="A49" s="698">
        <v>7</v>
      </c>
      <c r="B49" s="319"/>
      <c r="C49" s="27" t="s">
        <v>90</v>
      </c>
      <c r="D49" s="28"/>
      <c r="E49" s="776" t="s">
        <v>127</v>
      </c>
      <c r="F49" s="732">
        <v>60</v>
      </c>
      <c r="G49" s="200">
        <v>12.7</v>
      </c>
      <c r="H49" s="109">
        <v>1770</v>
      </c>
      <c r="I49" s="29">
        <v>11</v>
      </c>
      <c r="J49" s="171">
        <f>M49*1.3</f>
        <v>1605.5</v>
      </c>
      <c r="K49" s="172">
        <f>J49*0.95</f>
        <v>1525.2249999999999</v>
      </c>
      <c r="L49" s="173">
        <f>M49*1.05</f>
        <v>1296.75</v>
      </c>
      <c r="M49" s="172">
        <f>ROUND(1176*1.05,0)</f>
        <v>1235</v>
      </c>
      <c r="N49" s="174">
        <f t="shared" si="0"/>
        <v>1029.17</v>
      </c>
      <c r="O49" s="134"/>
      <c r="P49" s="135">
        <v>873.73</v>
      </c>
      <c r="Q49" s="30">
        <v>1001</v>
      </c>
    </row>
    <row r="50" spans="1:17" ht="43.8" thickBot="1">
      <c r="A50" s="700"/>
      <c r="B50" s="415"/>
      <c r="C50" s="24" t="s">
        <v>91</v>
      </c>
      <c r="D50" s="31"/>
      <c r="E50" s="777"/>
      <c r="F50" s="734"/>
      <c r="G50" s="201">
        <v>12.7</v>
      </c>
      <c r="H50" s="25">
        <v>1770</v>
      </c>
      <c r="I50" s="32">
        <v>11</v>
      </c>
      <c r="J50" s="177">
        <f>M50*1.3</f>
        <v>1605.5</v>
      </c>
      <c r="K50" s="4">
        <f>J50*0.95</f>
        <v>1525.2249999999999</v>
      </c>
      <c r="L50" s="178">
        <f>M50*1.05</f>
        <v>1296.75</v>
      </c>
      <c r="M50" s="4">
        <f>ROUND(1176*1.05,0)</f>
        <v>1235</v>
      </c>
      <c r="N50" s="179">
        <f t="shared" si="0"/>
        <v>1029.17</v>
      </c>
      <c r="O50" s="134"/>
      <c r="P50" s="135">
        <v>873.73</v>
      </c>
      <c r="Q50" s="33">
        <v>1001</v>
      </c>
    </row>
    <row r="51" spans="1:17" ht="15" thickBot="1">
      <c r="A51" s="688" t="s">
        <v>110</v>
      </c>
      <c r="B51" s="689"/>
      <c r="C51" s="689"/>
      <c r="D51" s="689"/>
      <c r="E51" s="689"/>
      <c r="F51" s="689"/>
      <c r="G51" s="689"/>
      <c r="H51" s="689"/>
      <c r="I51" s="689"/>
      <c r="J51" s="689"/>
      <c r="K51" s="689"/>
      <c r="L51" s="689"/>
      <c r="M51" s="689"/>
      <c r="N51" s="690"/>
      <c r="O51" s="134"/>
      <c r="P51" s="135">
        <v>0</v>
      </c>
      <c r="Q51" s="14"/>
    </row>
    <row r="52" spans="1:17" ht="18.600000000000001" thickBot="1">
      <c r="A52" s="698">
        <v>8</v>
      </c>
      <c r="B52" s="416"/>
      <c r="C52" s="273" t="s">
        <v>6</v>
      </c>
      <c r="D52" s="325"/>
      <c r="E52" s="844" t="s">
        <v>135</v>
      </c>
      <c r="F52" s="845">
        <v>80</v>
      </c>
      <c r="G52" s="316">
        <v>10.8</v>
      </c>
      <c r="H52" s="312">
        <v>2024</v>
      </c>
      <c r="I52" s="313">
        <v>10</v>
      </c>
      <c r="J52" s="84">
        <f>M52*1.15</f>
        <v>1285.6999999999998</v>
      </c>
      <c r="K52" s="85">
        <f>J52*0.97</f>
        <v>1247.1289999999997</v>
      </c>
      <c r="L52" s="73">
        <f>M52*1.03</f>
        <v>1151.54</v>
      </c>
      <c r="M52" s="85">
        <f>ROUND(1065*1.05,0)</f>
        <v>1118</v>
      </c>
      <c r="N52" s="86">
        <f t="shared" si="0"/>
        <v>931.67</v>
      </c>
      <c r="O52" s="134"/>
      <c r="P52" s="135">
        <v>738.98</v>
      </c>
      <c r="Q52" s="1">
        <v>830</v>
      </c>
    </row>
    <row r="53" spans="1:17" ht="18.600000000000001" thickBot="1">
      <c r="A53" s="699"/>
      <c r="B53" s="419"/>
      <c r="C53" s="273" t="s">
        <v>14</v>
      </c>
      <c r="D53" s="325"/>
      <c r="E53" s="738"/>
      <c r="F53" s="846"/>
      <c r="G53" s="316">
        <v>10.8</v>
      </c>
      <c r="H53" s="312">
        <v>2024</v>
      </c>
      <c r="I53" s="313">
        <v>10</v>
      </c>
      <c r="J53" s="92">
        <f>M53*1.15</f>
        <v>1424.85</v>
      </c>
      <c r="K53" s="229">
        <f>J53*0.95</f>
        <v>1353.6074999999998</v>
      </c>
      <c r="L53" s="93">
        <f>M53*1.04</f>
        <v>1288.56</v>
      </c>
      <c r="M53" s="229">
        <f>ROUND(1180*1.05,0)</f>
        <v>1239</v>
      </c>
      <c r="N53" s="94">
        <f t="shared" si="0"/>
        <v>1032.5</v>
      </c>
      <c r="O53" s="134"/>
      <c r="P53" s="135">
        <v>818.64</v>
      </c>
      <c r="Q53" s="2">
        <v>920</v>
      </c>
    </row>
    <row r="54" spans="1:17" ht="28.8">
      <c r="A54" s="699"/>
      <c r="B54" s="417"/>
      <c r="C54" s="169" t="s">
        <v>85</v>
      </c>
      <c r="D54" s="182"/>
      <c r="E54" s="738"/>
      <c r="F54" s="846"/>
      <c r="G54" s="322">
        <v>10.8</v>
      </c>
      <c r="H54" s="323">
        <v>2024</v>
      </c>
      <c r="I54" s="324">
        <v>10</v>
      </c>
      <c r="J54" s="171">
        <f>M54*1.3</f>
        <v>1765.4</v>
      </c>
      <c r="K54" s="172">
        <f>J54*0.95</f>
        <v>1677.13</v>
      </c>
      <c r="L54" s="173">
        <f>M54*1.05</f>
        <v>1425.9</v>
      </c>
      <c r="M54" s="172">
        <f>ROUND(1293*1.05,0)</f>
        <v>1358</v>
      </c>
      <c r="N54" s="174">
        <f t="shared" si="0"/>
        <v>1131.67</v>
      </c>
      <c r="O54" s="134"/>
      <c r="P54" s="135">
        <v>960.17</v>
      </c>
      <c r="Q54" s="3">
        <v>1100</v>
      </c>
    </row>
    <row r="55" spans="1:17" ht="28.8">
      <c r="A55" s="699"/>
      <c r="B55" s="187"/>
      <c r="C55" s="71" t="s">
        <v>111</v>
      </c>
      <c r="D55" s="183"/>
      <c r="E55" s="738"/>
      <c r="F55" s="846"/>
      <c r="G55" s="202">
        <v>10.8</v>
      </c>
      <c r="H55" s="22">
        <v>2024</v>
      </c>
      <c r="I55" s="34">
        <v>10</v>
      </c>
      <c r="J55" s="175">
        <f t="shared" ref="J55:J62" si="1">M55*1.3</f>
        <v>1765.4</v>
      </c>
      <c r="K55" s="3">
        <f t="shared" ref="K55:K62" si="2">J55*0.95</f>
        <v>1677.13</v>
      </c>
      <c r="L55" s="30">
        <f t="shared" ref="L55:L62" si="3">M55*1.05</f>
        <v>1425.9</v>
      </c>
      <c r="M55" s="3">
        <f t="shared" ref="M55:M60" si="4">ROUND(1293*1.05,0)</f>
        <v>1358</v>
      </c>
      <c r="N55" s="176">
        <f t="shared" si="0"/>
        <v>1131.67</v>
      </c>
      <c r="O55" s="134"/>
      <c r="P55" s="135">
        <v>960.17</v>
      </c>
      <c r="Q55" s="3">
        <v>1100</v>
      </c>
    </row>
    <row r="56" spans="1:17" ht="28.8">
      <c r="A56" s="699"/>
      <c r="B56" s="187"/>
      <c r="C56" s="71" t="s">
        <v>107</v>
      </c>
      <c r="D56" s="183"/>
      <c r="E56" s="738" t="s">
        <v>136</v>
      </c>
      <c r="F56" s="846"/>
      <c r="G56" s="202">
        <v>10.8</v>
      </c>
      <c r="H56" s="22">
        <v>2024</v>
      </c>
      <c r="I56" s="34">
        <v>10</v>
      </c>
      <c r="J56" s="175">
        <f t="shared" si="1"/>
        <v>1765.4</v>
      </c>
      <c r="K56" s="3">
        <f t="shared" si="2"/>
        <v>1677.13</v>
      </c>
      <c r="L56" s="30">
        <f t="shared" si="3"/>
        <v>1425.9</v>
      </c>
      <c r="M56" s="3">
        <f t="shared" si="4"/>
        <v>1358</v>
      </c>
      <c r="N56" s="176">
        <f t="shared" si="0"/>
        <v>1131.67</v>
      </c>
      <c r="O56" s="134"/>
      <c r="P56" s="135">
        <v>960.17</v>
      </c>
      <c r="Q56" s="3">
        <v>1100</v>
      </c>
    </row>
    <row r="57" spans="1:17" ht="28.8">
      <c r="A57" s="699"/>
      <c r="B57" s="187"/>
      <c r="C57" s="71" t="s">
        <v>96</v>
      </c>
      <c r="D57" s="183"/>
      <c r="E57" s="738"/>
      <c r="F57" s="846"/>
      <c r="G57" s="202">
        <v>10.8</v>
      </c>
      <c r="H57" s="22">
        <v>2024</v>
      </c>
      <c r="I57" s="34">
        <v>10</v>
      </c>
      <c r="J57" s="175">
        <f t="shared" si="1"/>
        <v>1765.4</v>
      </c>
      <c r="K57" s="3">
        <f t="shared" si="2"/>
        <v>1677.13</v>
      </c>
      <c r="L57" s="30">
        <f t="shared" si="3"/>
        <v>1425.9</v>
      </c>
      <c r="M57" s="3">
        <f t="shared" si="4"/>
        <v>1358</v>
      </c>
      <c r="N57" s="176">
        <f t="shared" si="0"/>
        <v>1131.67</v>
      </c>
      <c r="O57" s="134"/>
      <c r="P57" s="135">
        <v>960.17</v>
      </c>
      <c r="Q57" s="3">
        <v>1100</v>
      </c>
    </row>
    <row r="58" spans="1:17" ht="28.8">
      <c r="A58" s="699"/>
      <c r="B58" s="187"/>
      <c r="C58" s="71" t="s">
        <v>131</v>
      </c>
      <c r="D58" s="193" t="s">
        <v>78</v>
      </c>
      <c r="E58" s="738"/>
      <c r="F58" s="846"/>
      <c r="G58" s="202">
        <v>10.8</v>
      </c>
      <c r="H58" s="22">
        <v>2024</v>
      </c>
      <c r="I58" s="34">
        <v>10</v>
      </c>
      <c r="J58" s="175">
        <f t="shared" si="1"/>
        <v>1765.4</v>
      </c>
      <c r="K58" s="3">
        <f t="shared" si="2"/>
        <v>1677.13</v>
      </c>
      <c r="L58" s="30">
        <f t="shared" si="3"/>
        <v>1425.9</v>
      </c>
      <c r="M58" s="3">
        <f t="shared" si="4"/>
        <v>1358</v>
      </c>
      <c r="N58" s="176">
        <f t="shared" si="0"/>
        <v>1131.67</v>
      </c>
      <c r="O58" s="134"/>
      <c r="P58" s="135">
        <v>960.17</v>
      </c>
      <c r="Q58" s="3">
        <v>1100</v>
      </c>
    </row>
    <row r="59" spans="1:17" ht="43.2">
      <c r="A59" s="699"/>
      <c r="B59" s="418"/>
      <c r="C59" s="71" t="s">
        <v>95</v>
      </c>
      <c r="D59" s="183"/>
      <c r="E59" s="738"/>
      <c r="F59" s="846"/>
      <c r="G59" s="202">
        <v>10.8</v>
      </c>
      <c r="H59" s="22">
        <v>2024</v>
      </c>
      <c r="I59" s="34">
        <v>10</v>
      </c>
      <c r="J59" s="175">
        <f t="shared" si="1"/>
        <v>1765.4</v>
      </c>
      <c r="K59" s="3">
        <f t="shared" si="2"/>
        <v>1677.13</v>
      </c>
      <c r="L59" s="30">
        <f t="shared" si="3"/>
        <v>1425.9</v>
      </c>
      <c r="M59" s="3">
        <f t="shared" si="4"/>
        <v>1358</v>
      </c>
      <c r="N59" s="176">
        <f t="shared" si="0"/>
        <v>1131.67</v>
      </c>
      <c r="O59" s="134"/>
      <c r="P59" s="135">
        <v>960.17</v>
      </c>
      <c r="Q59" s="3">
        <v>1100</v>
      </c>
    </row>
    <row r="60" spans="1:17" ht="29.4" thickBot="1">
      <c r="A60" s="699"/>
      <c r="B60" s="185"/>
      <c r="C60" s="72" t="s">
        <v>90</v>
      </c>
      <c r="D60" s="186"/>
      <c r="E60" s="738" t="s">
        <v>137</v>
      </c>
      <c r="F60" s="846"/>
      <c r="G60" s="201">
        <v>10.8</v>
      </c>
      <c r="H60" s="25">
        <v>2024</v>
      </c>
      <c r="I60" s="32">
        <v>10</v>
      </c>
      <c r="J60" s="177">
        <f t="shared" si="1"/>
        <v>1765.4</v>
      </c>
      <c r="K60" s="4">
        <f t="shared" si="2"/>
        <v>1677.13</v>
      </c>
      <c r="L60" s="178">
        <f t="shared" si="3"/>
        <v>1425.9</v>
      </c>
      <c r="M60" s="4">
        <f t="shared" si="4"/>
        <v>1358</v>
      </c>
      <c r="N60" s="179">
        <f t="shared" si="0"/>
        <v>1131.67</v>
      </c>
      <c r="O60" s="134"/>
      <c r="P60" s="135">
        <v>960.17</v>
      </c>
      <c r="Q60" s="3">
        <v>1100</v>
      </c>
    </row>
    <row r="61" spans="1:17" ht="43.8" thickBot="1">
      <c r="A61" s="699"/>
      <c r="B61" s="420"/>
      <c r="C61" s="188" t="s">
        <v>105</v>
      </c>
      <c r="D61" s="189"/>
      <c r="E61" s="738"/>
      <c r="F61" s="846"/>
      <c r="G61" s="322">
        <v>10.8</v>
      </c>
      <c r="H61" s="323">
        <v>2024</v>
      </c>
      <c r="I61" s="324">
        <v>10</v>
      </c>
      <c r="J61" s="171">
        <f>M61*1.3</f>
        <v>1948.7</v>
      </c>
      <c r="K61" s="172">
        <f>J61*0.95</f>
        <v>1851.2649999999999</v>
      </c>
      <c r="L61" s="173">
        <f>M61*1.05</f>
        <v>1573.95</v>
      </c>
      <c r="M61" s="172">
        <v>1499</v>
      </c>
      <c r="N61" s="174">
        <f>ROUND(M61/1.2,2)</f>
        <v>1249.17</v>
      </c>
      <c r="O61" s="134"/>
      <c r="P61" s="135"/>
      <c r="Q61" s="4">
        <v>1100</v>
      </c>
    </row>
    <row r="62" spans="1:17" ht="29.4" thickBot="1">
      <c r="A62" s="700"/>
      <c r="B62" s="421"/>
      <c r="C62" s="190" t="s">
        <v>106</v>
      </c>
      <c r="D62" s="153"/>
      <c r="E62" s="778"/>
      <c r="F62" s="847"/>
      <c r="G62" s="201">
        <v>10.8</v>
      </c>
      <c r="H62" s="25">
        <v>2024</v>
      </c>
      <c r="I62" s="32">
        <v>10</v>
      </c>
      <c r="J62" s="177">
        <f t="shared" si="1"/>
        <v>1948.7</v>
      </c>
      <c r="K62" s="4">
        <f t="shared" si="2"/>
        <v>1851.2649999999999</v>
      </c>
      <c r="L62" s="178">
        <f t="shared" si="3"/>
        <v>1573.95</v>
      </c>
      <c r="M62" s="4">
        <v>1499</v>
      </c>
      <c r="N62" s="179">
        <f t="shared" si="0"/>
        <v>1249.17</v>
      </c>
      <c r="O62" s="134"/>
      <c r="P62" s="135">
        <v>960.17</v>
      </c>
      <c r="Q62" s="4">
        <v>1100</v>
      </c>
    </row>
    <row r="63" spans="1:17" ht="15" thickBot="1">
      <c r="A63" s="688" t="s">
        <v>36</v>
      </c>
      <c r="B63" s="689"/>
      <c r="C63" s="689"/>
      <c r="D63" s="689"/>
      <c r="E63" s="689"/>
      <c r="F63" s="689"/>
      <c r="G63" s="689"/>
      <c r="H63" s="689"/>
      <c r="I63" s="689"/>
      <c r="J63" s="689"/>
      <c r="K63" s="689"/>
      <c r="L63" s="689"/>
      <c r="M63" s="689"/>
      <c r="N63" s="690"/>
      <c r="O63" s="134"/>
      <c r="P63" s="135">
        <v>0</v>
      </c>
      <c r="Q63" s="35"/>
    </row>
    <row r="64" spans="1:17" ht="18.600000000000001" thickBot="1">
      <c r="A64" s="162">
        <v>9</v>
      </c>
      <c r="B64" s="422"/>
      <c r="C64" s="207" t="s">
        <v>6</v>
      </c>
      <c r="D64" s="36" t="s">
        <v>78</v>
      </c>
      <c r="E64" s="321" t="s">
        <v>128</v>
      </c>
      <c r="F64" s="326">
        <v>80</v>
      </c>
      <c r="G64" s="129">
        <v>10</v>
      </c>
      <c r="H64" s="110">
        <v>1506</v>
      </c>
      <c r="I64" s="111">
        <v>13</v>
      </c>
      <c r="J64" s="84">
        <f>ROUND(M64+M64*R64,0)</f>
        <v>793</v>
      </c>
      <c r="K64" s="85">
        <f>J64*0.97</f>
        <v>769.20999999999992</v>
      </c>
      <c r="L64" s="73">
        <f>M64*1.03</f>
        <v>816.79000000000008</v>
      </c>
      <c r="M64" s="85">
        <f>ROUND(755*1.05,0)</f>
        <v>793</v>
      </c>
      <c r="N64" s="86">
        <f t="shared" si="0"/>
        <v>660.83</v>
      </c>
      <c r="O64" s="134"/>
      <c r="P64" s="135">
        <v>523.73</v>
      </c>
      <c r="Q64" s="12">
        <v>589</v>
      </c>
    </row>
    <row r="65" spans="1:17" ht="15" thickBot="1">
      <c r="A65" s="688" t="s">
        <v>4</v>
      </c>
      <c r="B65" s="689"/>
      <c r="C65" s="689"/>
      <c r="D65" s="689"/>
      <c r="E65" s="689"/>
      <c r="F65" s="689"/>
      <c r="G65" s="689"/>
      <c r="H65" s="689"/>
      <c r="I65" s="689"/>
      <c r="J65" s="689"/>
      <c r="K65" s="689"/>
      <c r="L65" s="689"/>
      <c r="M65" s="689"/>
      <c r="N65" s="690"/>
      <c r="O65" s="134"/>
      <c r="P65" s="135">
        <v>0</v>
      </c>
      <c r="Q65" s="35"/>
    </row>
    <row r="66" spans="1:17">
      <c r="A66" s="735">
        <v>10</v>
      </c>
      <c r="B66" s="783"/>
      <c r="C66" s="748" t="s">
        <v>6</v>
      </c>
      <c r="D66" s="837" t="s">
        <v>78</v>
      </c>
      <c r="E66" s="760" t="s">
        <v>21</v>
      </c>
      <c r="F66" s="319">
        <v>60</v>
      </c>
      <c r="G66" s="255">
        <v>12.9</v>
      </c>
      <c r="H66" s="236">
        <v>1777</v>
      </c>
      <c r="I66" s="112">
        <v>11</v>
      </c>
      <c r="J66" s="171">
        <f t="shared" ref="J66:J99" si="5">ROUND(M66+M66*R66,0)</f>
        <v>683</v>
      </c>
      <c r="K66" s="172">
        <f t="shared" ref="K66:K73" si="6">ROUND(J66-(J66*S66),0)</f>
        <v>683</v>
      </c>
      <c r="L66" s="173">
        <f>M66*1.03</f>
        <v>703.49</v>
      </c>
      <c r="M66" s="172">
        <f>ROUND(650*1.05,0)</f>
        <v>683</v>
      </c>
      <c r="N66" s="174">
        <f t="shared" si="0"/>
        <v>569.16999999999996</v>
      </c>
      <c r="O66" s="134"/>
      <c r="P66" s="135">
        <v>450.85</v>
      </c>
      <c r="Q66" s="37">
        <v>507</v>
      </c>
    </row>
    <row r="67" spans="1:17" ht="15" thickBot="1">
      <c r="A67" s="736"/>
      <c r="B67" s="784"/>
      <c r="C67" s="749"/>
      <c r="D67" s="838"/>
      <c r="E67" s="761"/>
      <c r="F67" s="330">
        <v>80</v>
      </c>
      <c r="G67" s="327">
        <v>10.75</v>
      </c>
      <c r="H67" s="160">
        <v>1973</v>
      </c>
      <c r="I67" s="209">
        <v>10</v>
      </c>
      <c r="J67" s="177">
        <f t="shared" si="5"/>
        <v>793</v>
      </c>
      <c r="K67" s="4">
        <f t="shared" si="6"/>
        <v>793</v>
      </c>
      <c r="L67" s="178">
        <f>M67*1.03</f>
        <v>816.79000000000008</v>
      </c>
      <c r="M67" s="4">
        <f>ROUND(755*1.05,0)</f>
        <v>793</v>
      </c>
      <c r="N67" s="179">
        <f t="shared" si="0"/>
        <v>660.83</v>
      </c>
      <c r="O67" s="134"/>
      <c r="P67" s="135">
        <v>523.73</v>
      </c>
      <c r="Q67" s="38">
        <v>589</v>
      </c>
    </row>
    <row r="68" spans="1:17">
      <c r="A68" s="736"/>
      <c r="B68" s="764"/>
      <c r="C68" s="743" t="s">
        <v>14</v>
      </c>
      <c r="D68" s="837" t="s">
        <v>78</v>
      </c>
      <c r="E68" s="762"/>
      <c r="F68" s="319">
        <v>60</v>
      </c>
      <c r="G68" s="255">
        <v>12.9</v>
      </c>
      <c r="H68" s="236">
        <v>1777</v>
      </c>
      <c r="I68" s="112">
        <v>11</v>
      </c>
      <c r="J68" s="171">
        <f>ROUND(M68+M68*R68,0)</f>
        <v>758</v>
      </c>
      <c r="K68" s="172">
        <f t="shared" si="6"/>
        <v>758</v>
      </c>
      <c r="L68" s="173">
        <f t="shared" ref="L68:L73" si="7">M68*1.04</f>
        <v>788.32</v>
      </c>
      <c r="M68" s="172">
        <f>ROUND(722*1.05,0)</f>
        <v>758</v>
      </c>
      <c r="N68" s="174">
        <f t="shared" si="0"/>
        <v>631.66999999999996</v>
      </c>
      <c r="O68" s="134"/>
      <c r="P68" s="135">
        <v>501.69</v>
      </c>
      <c r="Q68" s="15">
        <v>564</v>
      </c>
    </row>
    <row r="69" spans="1:17" ht="15" thickBot="1">
      <c r="A69" s="736"/>
      <c r="B69" s="765"/>
      <c r="C69" s="747"/>
      <c r="D69" s="838"/>
      <c r="E69" s="763"/>
      <c r="F69" s="320">
        <v>80</v>
      </c>
      <c r="G69" s="256">
        <v>10.75</v>
      </c>
      <c r="H69" s="238">
        <v>1973</v>
      </c>
      <c r="I69" s="40">
        <v>10</v>
      </c>
      <c r="J69" s="177">
        <f t="shared" si="5"/>
        <v>910</v>
      </c>
      <c r="K69" s="4">
        <f t="shared" si="6"/>
        <v>910</v>
      </c>
      <c r="L69" s="178">
        <f t="shared" si="7"/>
        <v>946.4</v>
      </c>
      <c r="M69" s="4">
        <f>ROUND(867*1.05,0)</f>
        <v>910</v>
      </c>
      <c r="N69" s="179">
        <f t="shared" si="0"/>
        <v>758.33</v>
      </c>
      <c r="O69" s="134"/>
      <c r="P69" s="135">
        <v>601.69000000000005</v>
      </c>
      <c r="Q69" s="39">
        <v>676</v>
      </c>
    </row>
    <row r="70" spans="1:17">
      <c r="A70" s="736"/>
      <c r="B70" s="781"/>
      <c r="C70" s="743" t="s">
        <v>44</v>
      </c>
      <c r="D70" s="837" t="s">
        <v>78</v>
      </c>
      <c r="E70" s="763"/>
      <c r="F70" s="362">
        <v>60</v>
      </c>
      <c r="G70" s="328">
        <v>12.9</v>
      </c>
      <c r="H70" s="293">
        <v>1777</v>
      </c>
      <c r="I70" s="210">
        <v>11</v>
      </c>
      <c r="J70" s="171">
        <f>ROUND(M70+M70*R70,0)</f>
        <v>758</v>
      </c>
      <c r="K70" s="172">
        <f t="shared" si="6"/>
        <v>758</v>
      </c>
      <c r="L70" s="173">
        <f t="shared" si="7"/>
        <v>788.32</v>
      </c>
      <c r="M70" s="172">
        <f>ROUND(722*1.05,0)</f>
        <v>758</v>
      </c>
      <c r="N70" s="174">
        <f>ROUND(M70/1.2,2)</f>
        <v>631.66999999999996</v>
      </c>
      <c r="O70" s="134"/>
      <c r="P70" s="135">
        <v>501.69</v>
      </c>
      <c r="Q70" s="15">
        <v>564</v>
      </c>
    </row>
    <row r="71" spans="1:17" ht="15" thickBot="1">
      <c r="A71" s="736"/>
      <c r="B71" s="782"/>
      <c r="C71" s="744"/>
      <c r="D71" s="838"/>
      <c r="E71" s="763"/>
      <c r="F71" s="330">
        <v>80</v>
      </c>
      <c r="G71" s="327">
        <v>10.75</v>
      </c>
      <c r="H71" s="160">
        <v>1973</v>
      </c>
      <c r="I71" s="209">
        <v>10</v>
      </c>
      <c r="J71" s="177">
        <f>ROUND(M71+M71*R71,0)</f>
        <v>910</v>
      </c>
      <c r="K71" s="4">
        <f t="shared" si="6"/>
        <v>910</v>
      </c>
      <c r="L71" s="178">
        <f t="shared" si="7"/>
        <v>946.4</v>
      </c>
      <c r="M71" s="4">
        <f>ROUND(867*1.05,0)</f>
        <v>910</v>
      </c>
      <c r="N71" s="179">
        <f>ROUND(M71/1.2,2)</f>
        <v>758.33</v>
      </c>
      <c r="O71" s="134"/>
      <c r="P71" s="135">
        <v>601.69000000000005</v>
      </c>
      <c r="Q71" s="39">
        <v>676</v>
      </c>
    </row>
    <row r="72" spans="1:17" ht="18.600000000000001" thickBot="1">
      <c r="A72" s="736"/>
      <c r="B72" s="336"/>
      <c r="C72" s="273" t="s">
        <v>15</v>
      </c>
      <c r="D72" s="36"/>
      <c r="E72" s="762"/>
      <c r="F72" s="321">
        <v>60</v>
      </c>
      <c r="G72" s="129">
        <v>12.9</v>
      </c>
      <c r="H72" s="110">
        <v>1777</v>
      </c>
      <c r="I72" s="191">
        <v>11</v>
      </c>
      <c r="J72" s="171">
        <f>ROUND(M72+M72*R72,0)</f>
        <v>758</v>
      </c>
      <c r="K72" s="172">
        <f t="shared" si="6"/>
        <v>758</v>
      </c>
      <c r="L72" s="173">
        <f t="shared" si="7"/>
        <v>788.32</v>
      </c>
      <c r="M72" s="172">
        <f>ROUND(722*1.05,0)</f>
        <v>758</v>
      </c>
      <c r="N72" s="174">
        <f>ROUND(M72/1.2,2)</f>
        <v>631.66999999999996</v>
      </c>
      <c r="O72" s="134"/>
      <c r="P72" s="135">
        <v>501.69</v>
      </c>
      <c r="Q72" s="15">
        <v>564</v>
      </c>
    </row>
    <row r="73" spans="1:17" ht="18.600000000000001" thickBot="1">
      <c r="A73" s="736"/>
      <c r="B73" s="335"/>
      <c r="C73" s="275" t="s">
        <v>132</v>
      </c>
      <c r="D73" s="204"/>
      <c r="E73" s="801"/>
      <c r="F73" s="321">
        <v>60</v>
      </c>
      <c r="G73" s="129">
        <v>12.9</v>
      </c>
      <c r="H73" s="110">
        <v>1777</v>
      </c>
      <c r="I73" s="191">
        <v>11</v>
      </c>
      <c r="J73" s="171">
        <f>ROUND(M73+M73*R73,0)</f>
        <v>758</v>
      </c>
      <c r="K73" s="172">
        <f t="shared" si="6"/>
        <v>758</v>
      </c>
      <c r="L73" s="173">
        <f t="shared" si="7"/>
        <v>788.32</v>
      </c>
      <c r="M73" s="172">
        <f>ROUND(722*1.05,0)</f>
        <v>758</v>
      </c>
      <c r="N73" s="174">
        <f>ROUND(M73/1.2,2)</f>
        <v>631.66999999999996</v>
      </c>
      <c r="O73" s="134"/>
      <c r="P73" s="135">
        <v>501.69</v>
      </c>
      <c r="Q73" s="15">
        <v>564</v>
      </c>
    </row>
    <row r="74" spans="1:17" ht="18">
      <c r="A74" s="736"/>
      <c r="B74" s="251"/>
      <c r="C74" s="839" t="s">
        <v>101</v>
      </c>
      <c r="D74" s="100" t="s">
        <v>78</v>
      </c>
      <c r="E74" s="704" t="s">
        <v>21</v>
      </c>
      <c r="F74" s="244">
        <v>60</v>
      </c>
      <c r="G74" s="329">
        <v>12.9</v>
      </c>
      <c r="H74" s="236">
        <v>1777</v>
      </c>
      <c r="I74" s="112">
        <v>11</v>
      </c>
      <c r="J74" s="171">
        <f t="shared" si="5"/>
        <v>1107</v>
      </c>
      <c r="K74" s="172">
        <f>J74*0.95</f>
        <v>1051.6499999999999</v>
      </c>
      <c r="L74" s="173">
        <f>M74*1.05</f>
        <v>1162.3500000000001</v>
      </c>
      <c r="M74" s="172">
        <f>ROUND(1054*1.05,0)</f>
        <v>1107</v>
      </c>
      <c r="N74" s="174">
        <f t="shared" si="0"/>
        <v>922.5</v>
      </c>
      <c r="O74" s="134"/>
      <c r="P74" s="135">
        <v>782.2</v>
      </c>
      <c r="Q74" s="42">
        <v>896</v>
      </c>
    </row>
    <row r="75" spans="1:17" ht="18.600000000000001" thickBot="1">
      <c r="A75" s="736"/>
      <c r="B75" s="208"/>
      <c r="C75" s="840"/>
      <c r="D75" s="153"/>
      <c r="E75" s="714"/>
      <c r="F75" s="245">
        <v>80</v>
      </c>
      <c r="G75" s="256">
        <v>10.75</v>
      </c>
      <c r="H75" s="238">
        <v>1973</v>
      </c>
      <c r="I75" s="148">
        <v>10</v>
      </c>
      <c r="J75" s="177">
        <f t="shared" si="5"/>
        <v>1244</v>
      </c>
      <c r="K75" s="4">
        <f t="shared" ref="K75:K99" si="8">J75*0.95</f>
        <v>1181.8</v>
      </c>
      <c r="L75" s="178">
        <f t="shared" ref="L75:L99" si="9">M75*1.05</f>
        <v>1306.2</v>
      </c>
      <c r="M75" s="4">
        <f>ROUND(1185*1.05,0)</f>
        <v>1244</v>
      </c>
      <c r="N75" s="179">
        <f t="shared" si="0"/>
        <v>1036.67</v>
      </c>
      <c r="O75" s="134"/>
      <c r="P75" s="135">
        <v>879.66</v>
      </c>
      <c r="Q75" s="43">
        <v>1008</v>
      </c>
    </row>
    <row r="76" spans="1:17" ht="18">
      <c r="A76" s="736"/>
      <c r="B76" s="251"/>
      <c r="C76" s="841" t="s">
        <v>102</v>
      </c>
      <c r="D76" s="100" t="s">
        <v>78</v>
      </c>
      <c r="E76" s="714"/>
      <c r="F76" s="244">
        <v>60</v>
      </c>
      <c r="G76" s="329">
        <v>12.9</v>
      </c>
      <c r="H76" s="236">
        <v>1777</v>
      </c>
      <c r="I76" s="112">
        <v>11</v>
      </c>
      <c r="J76" s="171">
        <f t="shared" si="5"/>
        <v>1107</v>
      </c>
      <c r="K76" s="172">
        <f t="shared" si="8"/>
        <v>1051.6499999999999</v>
      </c>
      <c r="L76" s="173">
        <f t="shared" si="9"/>
        <v>1162.3500000000001</v>
      </c>
      <c r="M76" s="172">
        <f>ROUND(1054*1.05,0)</f>
        <v>1107</v>
      </c>
      <c r="N76" s="174">
        <f t="shared" si="0"/>
        <v>922.5</v>
      </c>
      <c r="O76" s="134"/>
      <c r="P76" s="135">
        <v>782.2</v>
      </c>
      <c r="Q76" s="44">
        <v>896</v>
      </c>
    </row>
    <row r="77" spans="1:17" ht="18.600000000000001" thickBot="1">
      <c r="A77" s="736"/>
      <c r="B77" s="338"/>
      <c r="C77" s="842"/>
      <c r="D77" s="153"/>
      <c r="E77" s="714"/>
      <c r="F77" s="245">
        <v>80</v>
      </c>
      <c r="G77" s="256">
        <v>10.75</v>
      </c>
      <c r="H77" s="238">
        <v>1973</v>
      </c>
      <c r="I77" s="148">
        <v>10</v>
      </c>
      <c r="J77" s="177">
        <f t="shared" si="5"/>
        <v>1244</v>
      </c>
      <c r="K77" s="4">
        <f t="shared" si="8"/>
        <v>1181.8</v>
      </c>
      <c r="L77" s="178">
        <f t="shared" si="9"/>
        <v>1306.2</v>
      </c>
      <c r="M77" s="4">
        <f>ROUND(1185*1.05,0)</f>
        <v>1244</v>
      </c>
      <c r="N77" s="179">
        <f t="shared" si="0"/>
        <v>1036.67</v>
      </c>
      <c r="O77" s="134"/>
      <c r="P77" s="135">
        <v>879.66</v>
      </c>
      <c r="Q77" s="43">
        <v>1008</v>
      </c>
    </row>
    <row r="78" spans="1:17" ht="18">
      <c r="A78" s="736"/>
      <c r="B78" s="251"/>
      <c r="C78" s="839" t="s">
        <v>103</v>
      </c>
      <c r="D78" s="100" t="s">
        <v>78</v>
      </c>
      <c r="E78" s="714"/>
      <c r="F78" s="244">
        <v>60</v>
      </c>
      <c r="G78" s="255">
        <v>12.9</v>
      </c>
      <c r="H78" s="236">
        <v>1777</v>
      </c>
      <c r="I78" s="112">
        <v>11</v>
      </c>
      <c r="J78" s="171">
        <f t="shared" si="5"/>
        <v>1107</v>
      </c>
      <c r="K78" s="172">
        <f t="shared" si="8"/>
        <v>1051.6499999999999</v>
      </c>
      <c r="L78" s="173">
        <f t="shared" si="9"/>
        <v>1162.3500000000001</v>
      </c>
      <c r="M78" s="172">
        <f>ROUND(1054*1.05,0)</f>
        <v>1107</v>
      </c>
      <c r="N78" s="174">
        <f t="shared" si="0"/>
        <v>922.5</v>
      </c>
      <c r="O78" s="134"/>
      <c r="P78" s="135">
        <v>782.2</v>
      </c>
      <c r="Q78" s="44">
        <v>896</v>
      </c>
    </row>
    <row r="79" spans="1:17" ht="18.600000000000001" thickBot="1">
      <c r="A79" s="736"/>
      <c r="B79" s="208"/>
      <c r="C79" s="840"/>
      <c r="D79" s="153"/>
      <c r="E79" s="714"/>
      <c r="F79" s="245">
        <v>80</v>
      </c>
      <c r="G79" s="256">
        <v>10.75</v>
      </c>
      <c r="H79" s="238">
        <v>1973</v>
      </c>
      <c r="I79" s="148">
        <v>10</v>
      </c>
      <c r="J79" s="177">
        <f t="shared" si="5"/>
        <v>1244</v>
      </c>
      <c r="K79" s="4">
        <f t="shared" si="8"/>
        <v>1181.8</v>
      </c>
      <c r="L79" s="178">
        <f t="shared" si="9"/>
        <v>1306.2</v>
      </c>
      <c r="M79" s="4">
        <f>ROUND(1185*1.05,0)</f>
        <v>1244</v>
      </c>
      <c r="N79" s="179">
        <f t="shared" si="0"/>
        <v>1036.67</v>
      </c>
      <c r="O79" s="134"/>
      <c r="P79" s="135">
        <v>879.66</v>
      </c>
      <c r="Q79" s="43">
        <v>1008</v>
      </c>
    </row>
    <row r="80" spans="1:17" ht="18">
      <c r="A80" s="736"/>
      <c r="B80" s="251"/>
      <c r="C80" s="748" t="s">
        <v>100</v>
      </c>
      <c r="D80" s="100" t="s">
        <v>78</v>
      </c>
      <c r="E80" s="714"/>
      <c r="F80" s="244">
        <v>60</v>
      </c>
      <c r="G80" s="255">
        <v>12.9</v>
      </c>
      <c r="H80" s="236">
        <v>1777</v>
      </c>
      <c r="I80" s="112">
        <v>11</v>
      </c>
      <c r="J80" s="171">
        <f t="shared" si="5"/>
        <v>1107</v>
      </c>
      <c r="K80" s="172">
        <f t="shared" si="8"/>
        <v>1051.6499999999999</v>
      </c>
      <c r="L80" s="173">
        <f t="shared" si="9"/>
        <v>1162.3500000000001</v>
      </c>
      <c r="M80" s="172">
        <f>ROUND(1054*1.05,0)</f>
        <v>1107</v>
      </c>
      <c r="N80" s="174">
        <f t="shared" si="0"/>
        <v>922.5</v>
      </c>
      <c r="O80" s="134"/>
      <c r="P80" s="135">
        <v>782.2</v>
      </c>
      <c r="Q80" s="44">
        <v>896</v>
      </c>
    </row>
    <row r="81" spans="1:17" ht="18.600000000000001" thickBot="1">
      <c r="A81" s="736"/>
      <c r="B81" s="338"/>
      <c r="C81" s="749"/>
      <c r="D81" s="153"/>
      <c r="E81" s="714"/>
      <c r="F81" s="245">
        <v>80</v>
      </c>
      <c r="G81" s="256">
        <v>10.75</v>
      </c>
      <c r="H81" s="238">
        <v>1973</v>
      </c>
      <c r="I81" s="148">
        <v>10</v>
      </c>
      <c r="J81" s="177">
        <f t="shared" si="5"/>
        <v>1244</v>
      </c>
      <c r="K81" s="4">
        <f t="shared" si="8"/>
        <v>1181.8</v>
      </c>
      <c r="L81" s="178">
        <f t="shared" si="9"/>
        <v>1306.2</v>
      </c>
      <c r="M81" s="4">
        <f>ROUND(1185*1.05,0)</f>
        <v>1244</v>
      </c>
      <c r="N81" s="179">
        <f t="shared" si="0"/>
        <v>1036.67</v>
      </c>
      <c r="O81" s="134"/>
      <c r="P81" s="135">
        <v>879.66</v>
      </c>
      <c r="Q81" s="43">
        <v>1008</v>
      </c>
    </row>
    <row r="82" spans="1:17" ht="18">
      <c r="A82" s="736"/>
      <c r="B82" s="341"/>
      <c r="C82" s="835" t="s">
        <v>99</v>
      </c>
      <c r="D82" s="100" t="s">
        <v>78</v>
      </c>
      <c r="E82" s="714"/>
      <c r="F82" s="244">
        <v>60</v>
      </c>
      <c r="G82" s="255">
        <v>12.9</v>
      </c>
      <c r="H82" s="236">
        <v>1777</v>
      </c>
      <c r="I82" s="112">
        <v>11</v>
      </c>
      <c r="J82" s="171">
        <f t="shared" si="5"/>
        <v>1107</v>
      </c>
      <c r="K82" s="172">
        <f t="shared" si="8"/>
        <v>1051.6499999999999</v>
      </c>
      <c r="L82" s="173">
        <f t="shared" si="9"/>
        <v>1162.3500000000001</v>
      </c>
      <c r="M82" s="172">
        <f>ROUND(1054*1.05,0)</f>
        <v>1107</v>
      </c>
      <c r="N82" s="174">
        <f t="shared" si="0"/>
        <v>922.5</v>
      </c>
      <c r="O82" s="134"/>
      <c r="P82" s="135">
        <v>782.2</v>
      </c>
      <c r="Q82" s="44">
        <v>896</v>
      </c>
    </row>
    <row r="83" spans="1:17" ht="18.600000000000001" thickBot="1">
      <c r="A83" s="736"/>
      <c r="B83" s="208"/>
      <c r="C83" s="836"/>
      <c r="D83" s="153"/>
      <c r="E83" s="714"/>
      <c r="F83" s="245">
        <v>80</v>
      </c>
      <c r="G83" s="256">
        <v>10.75</v>
      </c>
      <c r="H83" s="238">
        <v>1973</v>
      </c>
      <c r="I83" s="40">
        <v>10</v>
      </c>
      <c r="J83" s="177">
        <f t="shared" si="5"/>
        <v>1244</v>
      </c>
      <c r="K83" s="4">
        <f t="shared" si="8"/>
        <v>1181.8</v>
      </c>
      <c r="L83" s="178">
        <f t="shared" si="9"/>
        <v>1306.2</v>
      </c>
      <c r="M83" s="4">
        <f>ROUND(1185*1.05,0)</f>
        <v>1244</v>
      </c>
      <c r="N83" s="179">
        <f t="shared" si="0"/>
        <v>1036.67</v>
      </c>
      <c r="O83" s="134"/>
      <c r="P83" s="135">
        <v>879.66</v>
      </c>
      <c r="Q83" s="43">
        <v>1008</v>
      </c>
    </row>
    <row r="84" spans="1:17" ht="18">
      <c r="A84" s="736"/>
      <c r="B84" s="341"/>
      <c r="C84" s="835" t="s">
        <v>109</v>
      </c>
      <c r="D84" s="100" t="s">
        <v>78</v>
      </c>
      <c r="E84" s="714"/>
      <c r="F84" s="244">
        <v>60</v>
      </c>
      <c r="G84" s="255">
        <v>12.9</v>
      </c>
      <c r="H84" s="236">
        <v>1777</v>
      </c>
      <c r="I84" s="112">
        <v>11</v>
      </c>
      <c r="J84" s="171">
        <f t="shared" si="5"/>
        <v>1107</v>
      </c>
      <c r="K84" s="172">
        <f t="shared" si="8"/>
        <v>1051.6499999999999</v>
      </c>
      <c r="L84" s="173">
        <f t="shared" si="9"/>
        <v>1162.3500000000001</v>
      </c>
      <c r="M84" s="172">
        <f>ROUND(1054*1.05,0)</f>
        <v>1107</v>
      </c>
      <c r="N84" s="174">
        <f t="shared" si="0"/>
        <v>922.5</v>
      </c>
      <c r="O84" s="134"/>
      <c r="P84" s="135">
        <v>782.2</v>
      </c>
      <c r="Q84" s="45">
        <v>896</v>
      </c>
    </row>
    <row r="85" spans="1:17" ht="18.600000000000001" thickBot="1">
      <c r="A85" s="736"/>
      <c r="B85" s="208"/>
      <c r="C85" s="836"/>
      <c r="D85" s="153"/>
      <c r="E85" s="714"/>
      <c r="F85" s="245">
        <v>80</v>
      </c>
      <c r="G85" s="256">
        <v>10.75</v>
      </c>
      <c r="H85" s="238">
        <v>1973</v>
      </c>
      <c r="I85" s="40">
        <v>10</v>
      </c>
      <c r="J85" s="177">
        <f t="shared" si="5"/>
        <v>1244</v>
      </c>
      <c r="K85" s="4">
        <f t="shared" si="8"/>
        <v>1181.8</v>
      </c>
      <c r="L85" s="178">
        <f t="shared" si="9"/>
        <v>1306.2</v>
      </c>
      <c r="M85" s="4">
        <f>ROUND(1185*1.05,0)</f>
        <v>1244</v>
      </c>
      <c r="N85" s="179">
        <f t="shared" si="0"/>
        <v>1036.67</v>
      </c>
      <c r="O85" s="134"/>
      <c r="P85" s="135">
        <v>879.66</v>
      </c>
      <c r="Q85" s="43">
        <v>1008</v>
      </c>
    </row>
    <row r="86" spans="1:17" ht="18">
      <c r="A86" s="736"/>
      <c r="B86" s="251"/>
      <c r="C86" s="835" t="s">
        <v>97</v>
      </c>
      <c r="D86" s="100" t="s">
        <v>78</v>
      </c>
      <c r="E86" s="714"/>
      <c r="F86" s="244">
        <v>60</v>
      </c>
      <c r="G86" s="255">
        <v>12.9</v>
      </c>
      <c r="H86" s="236">
        <v>1777</v>
      </c>
      <c r="I86" s="112">
        <v>11</v>
      </c>
      <c r="J86" s="171">
        <f t="shared" si="5"/>
        <v>1107</v>
      </c>
      <c r="K86" s="172">
        <f t="shared" si="8"/>
        <v>1051.6499999999999</v>
      </c>
      <c r="L86" s="173">
        <f t="shared" si="9"/>
        <v>1162.3500000000001</v>
      </c>
      <c r="M86" s="172">
        <f>ROUND(1054*1.05,0)</f>
        <v>1107</v>
      </c>
      <c r="N86" s="174">
        <f t="shared" si="0"/>
        <v>922.5</v>
      </c>
      <c r="O86" s="134"/>
      <c r="P86" s="135">
        <v>782.2</v>
      </c>
      <c r="Q86" s="44">
        <v>896</v>
      </c>
    </row>
    <row r="87" spans="1:17" ht="18.600000000000001" thickBot="1">
      <c r="A87" s="736"/>
      <c r="B87" s="208"/>
      <c r="C87" s="836"/>
      <c r="D87" s="153"/>
      <c r="E87" s="714"/>
      <c r="F87" s="245">
        <v>80</v>
      </c>
      <c r="G87" s="256">
        <v>10.75</v>
      </c>
      <c r="H87" s="238">
        <v>1973</v>
      </c>
      <c r="I87" s="40">
        <v>10</v>
      </c>
      <c r="J87" s="177">
        <f t="shared" si="5"/>
        <v>1244</v>
      </c>
      <c r="K87" s="4">
        <f t="shared" si="8"/>
        <v>1181.8</v>
      </c>
      <c r="L87" s="178">
        <f t="shared" si="9"/>
        <v>1306.2</v>
      </c>
      <c r="M87" s="4">
        <f>ROUND(1185*1.05,0)</f>
        <v>1244</v>
      </c>
      <c r="N87" s="179">
        <f t="shared" si="0"/>
        <v>1036.67</v>
      </c>
      <c r="O87" s="134"/>
      <c r="P87" s="135">
        <v>879.66</v>
      </c>
      <c r="Q87" s="43">
        <v>1008</v>
      </c>
    </row>
    <row r="88" spans="1:17" ht="18">
      <c r="A88" s="736"/>
      <c r="B88" s="251"/>
      <c r="C88" s="835" t="s">
        <v>96</v>
      </c>
      <c r="D88" s="100" t="s">
        <v>78</v>
      </c>
      <c r="E88" s="714"/>
      <c r="F88" s="244">
        <v>60</v>
      </c>
      <c r="G88" s="255">
        <v>12.9</v>
      </c>
      <c r="H88" s="236">
        <v>1777</v>
      </c>
      <c r="I88" s="112">
        <v>11</v>
      </c>
      <c r="J88" s="171">
        <f t="shared" si="5"/>
        <v>1107</v>
      </c>
      <c r="K88" s="172">
        <f t="shared" si="8"/>
        <v>1051.6499999999999</v>
      </c>
      <c r="L88" s="173">
        <f t="shared" si="9"/>
        <v>1162.3500000000001</v>
      </c>
      <c r="M88" s="172">
        <f>ROUND(1054*1.05,0)</f>
        <v>1107</v>
      </c>
      <c r="N88" s="174">
        <f t="shared" si="0"/>
        <v>922.5</v>
      </c>
      <c r="O88" s="134"/>
      <c r="P88" s="135">
        <v>782.2</v>
      </c>
      <c r="Q88" s="44">
        <v>896</v>
      </c>
    </row>
    <row r="89" spans="1:17" ht="18.600000000000001" thickBot="1">
      <c r="A89" s="736"/>
      <c r="B89" s="208"/>
      <c r="C89" s="836"/>
      <c r="D89" s="153"/>
      <c r="E89" s="714"/>
      <c r="F89" s="245">
        <v>80</v>
      </c>
      <c r="G89" s="256">
        <v>10.75</v>
      </c>
      <c r="H89" s="238">
        <v>1973</v>
      </c>
      <c r="I89" s="40">
        <v>10</v>
      </c>
      <c r="J89" s="177">
        <f t="shared" si="5"/>
        <v>1244</v>
      </c>
      <c r="K89" s="4">
        <f t="shared" si="8"/>
        <v>1181.8</v>
      </c>
      <c r="L89" s="178">
        <f t="shared" si="9"/>
        <v>1306.2</v>
      </c>
      <c r="M89" s="4">
        <f>ROUND(1185*1.05,0)</f>
        <v>1244</v>
      </c>
      <c r="N89" s="179">
        <f t="shared" si="0"/>
        <v>1036.67</v>
      </c>
      <c r="O89" s="134"/>
      <c r="P89" s="135">
        <v>879.66</v>
      </c>
      <c r="Q89" s="43">
        <v>1008</v>
      </c>
    </row>
    <row r="90" spans="1:17" ht="18">
      <c r="A90" s="736"/>
      <c r="B90" s="251"/>
      <c r="C90" s="835" t="s">
        <v>93</v>
      </c>
      <c r="D90" s="100" t="s">
        <v>78</v>
      </c>
      <c r="E90" s="714"/>
      <c r="F90" s="244">
        <v>60</v>
      </c>
      <c r="G90" s="255">
        <v>12.9</v>
      </c>
      <c r="H90" s="236">
        <v>1777</v>
      </c>
      <c r="I90" s="112">
        <v>11</v>
      </c>
      <c r="J90" s="171">
        <f t="shared" si="5"/>
        <v>1107</v>
      </c>
      <c r="K90" s="172">
        <f t="shared" si="8"/>
        <v>1051.6499999999999</v>
      </c>
      <c r="L90" s="173">
        <f t="shared" si="9"/>
        <v>1162.3500000000001</v>
      </c>
      <c r="M90" s="172">
        <f>ROUND(1054*1.05,0)</f>
        <v>1107</v>
      </c>
      <c r="N90" s="174">
        <f t="shared" si="0"/>
        <v>922.5</v>
      </c>
      <c r="O90" s="134"/>
      <c r="P90" s="135">
        <v>782.2</v>
      </c>
      <c r="Q90" s="44">
        <v>896</v>
      </c>
    </row>
    <row r="91" spans="1:17" ht="18.600000000000001" thickBot="1">
      <c r="A91" s="736"/>
      <c r="B91" s="338"/>
      <c r="C91" s="836"/>
      <c r="D91" s="153"/>
      <c r="E91" s="714"/>
      <c r="F91" s="245">
        <v>80</v>
      </c>
      <c r="G91" s="256">
        <v>10.75</v>
      </c>
      <c r="H91" s="238">
        <v>1973</v>
      </c>
      <c r="I91" s="40">
        <v>10</v>
      </c>
      <c r="J91" s="177">
        <f t="shared" si="5"/>
        <v>1244</v>
      </c>
      <c r="K91" s="4">
        <f t="shared" si="8"/>
        <v>1181.8</v>
      </c>
      <c r="L91" s="178">
        <f t="shared" si="9"/>
        <v>1306.2</v>
      </c>
      <c r="M91" s="4">
        <f>ROUND(1185*1.05,0)</f>
        <v>1244</v>
      </c>
      <c r="N91" s="179">
        <f t="shared" si="0"/>
        <v>1036.67</v>
      </c>
      <c r="O91" s="134"/>
      <c r="P91" s="135">
        <v>879.66</v>
      </c>
      <c r="Q91" s="43">
        <v>1008</v>
      </c>
    </row>
    <row r="92" spans="1:17" ht="18">
      <c r="A92" s="736"/>
      <c r="B92" s="341"/>
      <c r="C92" s="835" t="s">
        <v>94</v>
      </c>
      <c r="D92" s="100" t="s">
        <v>78</v>
      </c>
      <c r="E92" s="714"/>
      <c r="F92" s="244">
        <v>60</v>
      </c>
      <c r="G92" s="255">
        <v>12.9</v>
      </c>
      <c r="H92" s="236">
        <v>1777</v>
      </c>
      <c r="I92" s="112">
        <v>11</v>
      </c>
      <c r="J92" s="171">
        <f t="shared" si="5"/>
        <v>1107</v>
      </c>
      <c r="K92" s="172">
        <f t="shared" si="8"/>
        <v>1051.6499999999999</v>
      </c>
      <c r="L92" s="173">
        <f t="shared" si="9"/>
        <v>1162.3500000000001</v>
      </c>
      <c r="M92" s="172">
        <f>ROUND(1054*1.05,0)</f>
        <v>1107</v>
      </c>
      <c r="N92" s="174">
        <f t="shared" si="0"/>
        <v>922.5</v>
      </c>
      <c r="O92" s="134"/>
      <c r="P92" s="135">
        <v>782.2</v>
      </c>
      <c r="Q92" s="46">
        <v>896</v>
      </c>
    </row>
    <row r="93" spans="1:17" ht="18.600000000000001" thickBot="1">
      <c r="A93" s="736"/>
      <c r="B93" s="338"/>
      <c r="C93" s="836"/>
      <c r="D93" s="153"/>
      <c r="E93" s="714"/>
      <c r="F93" s="245">
        <v>80</v>
      </c>
      <c r="G93" s="256">
        <v>10.75</v>
      </c>
      <c r="H93" s="238">
        <v>1973</v>
      </c>
      <c r="I93" s="40">
        <v>10</v>
      </c>
      <c r="J93" s="177">
        <f t="shared" si="5"/>
        <v>1244</v>
      </c>
      <c r="K93" s="4">
        <f t="shared" si="8"/>
        <v>1181.8</v>
      </c>
      <c r="L93" s="178">
        <f t="shared" si="9"/>
        <v>1306.2</v>
      </c>
      <c r="M93" s="4">
        <f>ROUND(1185*1.05,0)</f>
        <v>1244</v>
      </c>
      <c r="N93" s="179">
        <f t="shared" si="0"/>
        <v>1036.67</v>
      </c>
      <c r="O93" s="134"/>
      <c r="P93" s="135">
        <v>879.66</v>
      </c>
      <c r="Q93" s="43">
        <v>1008</v>
      </c>
    </row>
    <row r="94" spans="1:17" ht="18">
      <c r="A94" s="736"/>
      <c r="B94" s="341"/>
      <c r="C94" s="835" t="s">
        <v>112</v>
      </c>
      <c r="D94" s="100" t="s">
        <v>78</v>
      </c>
      <c r="E94" s="714"/>
      <c r="F94" s="244">
        <v>60</v>
      </c>
      <c r="G94" s="255">
        <v>12.9</v>
      </c>
      <c r="H94" s="236">
        <v>1777</v>
      </c>
      <c r="I94" s="112">
        <v>11</v>
      </c>
      <c r="J94" s="171">
        <f>ROUND(M94+M94*R94,0)</f>
        <v>1107</v>
      </c>
      <c r="K94" s="172">
        <f>J94*0.95</f>
        <v>1051.6499999999999</v>
      </c>
      <c r="L94" s="173">
        <f>M94*1.05</f>
        <v>1162.3500000000001</v>
      </c>
      <c r="M94" s="172">
        <f>ROUND(1054*1.05,0)</f>
        <v>1107</v>
      </c>
      <c r="N94" s="174">
        <f>ROUND(M94/1.2,2)</f>
        <v>922.5</v>
      </c>
      <c r="O94" s="134"/>
      <c r="P94" s="135"/>
      <c r="Q94" s="46">
        <v>896</v>
      </c>
    </row>
    <row r="95" spans="1:17" ht="18.600000000000001" thickBot="1">
      <c r="A95" s="736"/>
      <c r="B95" s="338"/>
      <c r="C95" s="836"/>
      <c r="D95" s="153"/>
      <c r="E95" s="714"/>
      <c r="F95" s="245">
        <v>80</v>
      </c>
      <c r="G95" s="256">
        <v>10.75</v>
      </c>
      <c r="H95" s="238">
        <v>1973</v>
      </c>
      <c r="I95" s="40">
        <v>10</v>
      </c>
      <c r="J95" s="177">
        <f>ROUND(M95+M95*R95,0)</f>
        <v>1244</v>
      </c>
      <c r="K95" s="4">
        <f>J95*0.95</f>
        <v>1181.8</v>
      </c>
      <c r="L95" s="178">
        <f>M95*1.05</f>
        <v>1306.2</v>
      </c>
      <c r="M95" s="4">
        <f>ROUND(1185*1.05,0)</f>
        <v>1244</v>
      </c>
      <c r="N95" s="179">
        <f>ROUND(M95/1.2,2)</f>
        <v>1036.67</v>
      </c>
      <c r="O95" s="134"/>
      <c r="P95" s="135"/>
      <c r="Q95" s="43">
        <v>1008</v>
      </c>
    </row>
    <row r="96" spans="1:17" ht="18">
      <c r="A96" s="736"/>
      <c r="B96" s="341"/>
      <c r="C96" s="835" t="s">
        <v>133</v>
      </c>
      <c r="D96" s="100" t="s">
        <v>78</v>
      </c>
      <c r="E96" s="714"/>
      <c r="F96" s="244">
        <v>60</v>
      </c>
      <c r="G96" s="255">
        <v>12.9</v>
      </c>
      <c r="H96" s="236">
        <v>1777</v>
      </c>
      <c r="I96" s="112">
        <v>11</v>
      </c>
      <c r="J96" s="171">
        <f>ROUND(M96+M96*R96,0)</f>
        <v>1107</v>
      </c>
      <c r="K96" s="172">
        <f>J96*0.95</f>
        <v>1051.6499999999999</v>
      </c>
      <c r="L96" s="173">
        <f>M96*1.05</f>
        <v>1162.3500000000001</v>
      </c>
      <c r="M96" s="172">
        <f>ROUND(1054*1.05,0)</f>
        <v>1107</v>
      </c>
      <c r="N96" s="174">
        <f>ROUND(M96/1.2,2)</f>
        <v>922.5</v>
      </c>
      <c r="O96" s="134"/>
      <c r="P96" s="135"/>
      <c r="Q96" s="46">
        <v>896</v>
      </c>
    </row>
    <row r="97" spans="1:17" ht="18.600000000000001" thickBot="1">
      <c r="A97" s="736"/>
      <c r="B97" s="338"/>
      <c r="C97" s="836"/>
      <c r="D97" s="153"/>
      <c r="E97" s="714"/>
      <c r="F97" s="245">
        <v>80</v>
      </c>
      <c r="G97" s="256">
        <v>10.75</v>
      </c>
      <c r="H97" s="238">
        <v>1973</v>
      </c>
      <c r="I97" s="40">
        <v>10</v>
      </c>
      <c r="J97" s="177">
        <f>ROUND(M97+M97*R97,0)</f>
        <v>1244</v>
      </c>
      <c r="K97" s="4">
        <f>J97*0.95</f>
        <v>1181.8</v>
      </c>
      <c r="L97" s="178">
        <f>M97*1.05</f>
        <v>1306.2</v>
      </c>
      <c r="M97" s="4">
        <f>ROUND(1185*1.05,0)</f>
        <v>1244</v>
      </c>
      <c r="N97" s="179">
        <f>ROUND(M97/1.2,2)</f>
        <v>1036.67</v>
      </c>
      <c r="O97" s="134"/>
      <c r="P97" s="135"/>
      <c r="Q97" s="43">
        <v>1008</v>
      </c>
    </row>
    <row r="98" spans="1:17" ht="18">
      <c r="A98" s="736"/>
      <c r="B98" s="334"/>
      <c r="C98" s="843" t="s">
        <v>95</v>
      </c>
      <c r="D98" s="192" t="s">
        <v>78</v>
      </c>
      <c r="E98" s="714"/>
      <c r="F98" s="244">
        <v>60</v>
      </c>
      <c r="G98" s="255">
        <v>12.9</v>
      </c>
      <c r="H98" s="236">
        <v>1777</v>
      </c>
      <c r="I98" s="112">
        <v>11</v>
      </c>
      <c r="J98" s="171">
        <f t="shared" si="5"/>
        <v>1107</v>
      </c>
      <c r="K98" s="172">
        <f t="shared" si="8"/>
        <v>1051.6499999999999</v>
      </c>
      <c r="L98" s="173">
        <f t="shared" si="9"/>
        <v>1162.3500000000001</v>
      </c>
      <c r="M98" s="172">
        <f>ROUND(1054*1.05,0)</f>
        <v>1107</v>
      </c>
      <c r="N98" s="174">
        <f t="shared" si="0"/>
        <v>922.5</v>
      </c>
      <c r="O98" s="134"/>
      <c r="P98" s="135">
        <v>782.2</v>
      </c>
      <c r="Q98" s="46">
        <v>896</v>
      </c>
    </row>
    <row r="99" spans="1:17" ht="18.600000000000001" thickBot="1">
      <c r="A99" s="737"/>
      <c r="B99" s="208"/>
      <c r="C99" s="836"/>
      <c r="D99" s="153"/>
      <c r="E99" s="715"/>
      <c r="F99" s="245">
        <v>80</v>
      </c>
      <c r="G99" s="256">
        <v>10.75</v>
      </c>
      <c r="H99" s="238">
        <v>1973</v>
      </c>
      <c r="I99" s="40">
        <v>10</v>
      </c>
      <c r="J99" s="177">
        <f t="shared" si="5"/>
        <v>1244</v>
      </c>
      <c r="K99" s="4">
        <f t="shared" si="8"/>
        <v>1181.8</v>
      </c>
      <c r="L99" s="178">
        <f t="shared" si="9"/>
        <v>1306.2</v>
      </c>
      <c r="M99" s="4">
        <f>ROUND(1185*1.05,0)</f>
        <v>1244</v>
      </c>
      <c r="N99" s="179">
        <f t="shared" si="0"/>
        <v>1036.67</v>
      </c>
      <c r="O99" s="134"/>
      <c r="P99" s="135">
        <v>879.66</v>
      </c>
      <c r="Q99" s="43">
        <v>1008</v>
      </c>
    </row>
    <row r="100" spans="1:17" ht="15" thickBot="1">
      <c r="A100" s="688" t="s">
        <v>57</v>
      </c>
      <c r="B100" s="689"/>
      <c r="C100" s="689"/>
      <c r="D100" s="689"/>
      <c r="E100" s="689"/>
      <c r="F100" s="689"/>
      <c r="G100" s="689"/>
      <c r="H100" s="689"/>
      <c r="I100" s="689"/>
      <c r="J100" s="689"/>
      <c r="K100" s="689"/>
      <c r="L100" s="689"/>
      <c r="M100" s="689"/>
      <c r="N100" s="690"/>
      <c r="O100" s="134"/>
      <c r="P100" s="135">
        <v>0</v>
      </c>
      <c r="Q100" s="17"/>
    </row>
    <row r="101" spans="1:17" ht="43.2">
      <c r="A101" s="792">
        <v>11</v>
      </c>
      <c r="B101" s="190"/>
      <c r="C101" s="152" t="s">
        <v>125</v>
      </c>
      <c r="D101" s="96" t="s">
        <v>78</v>
      </c>
      <c r="E101" s="833" t="s">
        <v>58</v>
      </c>
      <c r="F101" s="704">
        <v>40</v>
      </c>
      <c r="G101" s="332">
        <v>20.74</v>
      </c>
      <c r="H101" s="145">
        <v>1903</v>
      </c>
      <c r="I101" s="147">
        <v>10</v>
      </c>
      <c r="J101" s="211">
        <f>M101*1.3</f>
        <v>1116.7</v>
      </c>
      <c r="K101" s="212">
        <f>J101*0.95</f>
        <v>1060.865</v>
      </c>
      <c r="L101" s="172">
        <f>M101*1.05</f>
        <v>901.95</v>
      </c>
      <c r="M101" s="213">
        <f>ROUND(818*1.05,0)</f>
        <v>859</v>
      </c>
      <c r="N101" s="214">
        <f t="shared" si="0"/>
        <v>715.83</v>
      </c>
      <c r="O101" s="134"/>
      <c r="P101" s="135"/>
      <c r="Q101" s="38"/>
    </row>
    <row r="102" spans="1:17" ht="57.6">
      <c r="A102" s="792"/>
      <c r="B102" s="190"/>
      <c r="C102" s="152" t="s">
        <v>123</v>
      </c>
      <c r="D102" s="96" t="s">
        <v>78</v>
      </c>
      <c r="E102" s="833"/>
      <c r="F102" s="714"/>
      <c r="G102" s="332">
        <v>20.74</v>
      </c>
      <c r="H102" s="145">
        <v>1903</v>
      </c>
      <c r="I102" s="147">
        <v>10</v>
      </c>
      <c r="J102" s="215">
        <f>M102*1.3</f>
        <v>1116.7</v>
      </c>
      <c r="K102" s="216">
        <f>J102*0.95</f>
        <v>1060.865</v>
      </c>
      <c r="L102" s="3">
        <f>M102*1.05</f>
        <v>901.95</v>
      </c>
      <c r="M102" s="217">
        <f>ROUND(818*1.05,0)</f>
        <v>859</v>
      </c>
      <c r="N102" s="218">
        <f t="shared" si="0"/>
        <v>715.83</v>
      </c>
      <c r="O102" s="134"/>
      <c r="P102" s="135"/>
      <c r="Q102" s="38"/>
    </row>
    <row r="103" spans="1:17" ht="43.2">
      <c r="A103" s="792"/>
      <c r="B103" s="190"/>
      <c r="C103" s="152" t="s">
        <v>124</v>
      </c>
      <c r="D103" s="96" t="s">
        <v>78</v>
      </c>
      <c r="E103" s="833"/>
      <c r="F103" s="714"/>
      <c r="G103" s="332">
        <v>20.74</v>
      </c>
      <c r="H103" s="145">
        <v>1903</v>
      </c>
      <c r="I103" s="147">
        <v>10</v>
      </c>
      <c r="J103" s="215">
        <f>M103*1.3</f>
        <v>1116.7</v>
      </c>
      <c r="K103" s="216">
        <f>J103*0.95</f>
        <v>1060.865</v>
      </c>
      <c r="L103" s="3">
        <f>M103*1.05</f>
        <v>901.95</v>
      </c>
      <c r="M103" s="217">
        <f>ROUND(818*1.05,0)</f>
        <v>859</v>
      </c>
      <c r="N103" s="218">
        <f t="shared" si="0"/>
        <v>715.83</v>
      </c>
      <c r="O103" s="134"/>
      <c r="P103" s="135"/>
      <c r="Q103" s="38"/>
    </row>
    <row r="104" spans="1:17" ht="43.8" thickBot="1">
      <c r="A104" s="754"/>
      <c r="B104" s="161"/>
      <c r="C104" s="152" t="s">
        <v>68</v>
      </c>
      <c r="D104" s="96" t="s">
        <v>78</v>
      </c>
      <c r="E104" s="833"/>
      <c r="F104" s="715"/>
      <c r="G104" s="332">
        <v>20.74</v>
      </c>
      <c r="H104" s="145">
        <v>1903</v>
      </c>
      <c r="I104" s="147">
        <v>10</v>
      </c>
      <c r="J104" s="219">
        <f>M104*1.3</f>
        <v>1116.7</v>
      </c>
      <c r="K104" s="220">
        <f>J104*0.95</f>
        <v>1060.865</v>
      </c>
      <c r="L104" s="4">
        <f>M104*1.05</f>
        <v>901.95</v>
      </c>
      <c r="M104" s="221">
        <f>ROUND(818*1.05,0)</f>
        <v>859</v>
      </c>
      <c r="N104" s="222">
        <f>ROUND(M104/1.2,2)</f>
        <v>715.83</v>
      </c>
      <c r="O104" s="134"/>
      <c r="P104" s="135">
        <v>782.2</v>
      </c>
      <c r="Q104" s="41">
        <v>896</v>
      </c>
    </row>
    <row r="105" spans="1:17" ht="15" thickBot="1">
      <c r="A105" s="724" t="s">
        <v>121</v>
      </c>
      <c r="B105" s="725"/>
      <c r="C105" s="725"/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834"/>
      <c r="O105" s="134"/>
      <c r="P105" s="135"/>
      <c r="Q105" s="46"/>
    </row>
    <row r="106" spans="1:17" ht="57.6">
      <c r="A106" s="698">
        <v>12</v>
      </c>
      <c r="B106" s="257"/>
      <c r="C106" s="150" t="s">
        <v>101</v>
      </c>
      <c r="D106" s="95"/>
      <c r="E106" s="739" t="s">
        <v>122</v>
      </c>
      <c r="F106" s="704">
        <v>60</v>
      </c>
      <c r="G106" s="358">
        <v>13.18</v>
      </c>
      <c r="H106" s="141">
        <v>1815</v>
      </c>
      <c r="I106" s="142">
        <v>11</v>
      </c>
      <c r="J106" s="211">
        <f>M106*1.3</f>
        <v>1480.7</v>
      </c>
      <c r="K106" s="212">
        <f>J106*0.95</f>
        <v>1406.665</v>
      </c>
      <c r="L106" s="213">
        <f>M106*1.05</f>
        <v>1195.95</v>
      </c>
      <c r="M106" s="212">
        <f>ROUND(1085*1.05,0)</f>
        <v>1139</v>
      </c>
      <c r="N106" s="223">
        <f>M106/1.2</f>
        <v>949.16666666666674</v>
      </c>
      <c r="O106" s="134"/>
      <c r="P106" s="135"/>
      <c r="Q106" s="46"/>
    </row>
    <row r="107" spans="1:17" ht="29.4" thickBot="1">
      <c r="A107" s="700"/>
      <c r="B107" s="258"/>
      <c r="C107" s="151" t="s">
        <v>92</v>
      </c>
      <c r="D107" s="153"/>
      <c r="E107" s="740"/>
      <c r="F107" s="715"/>
      <c r="G107" s="359">
        <v>13.18</v>
      </c>
      <c r="H107" s="143">
        <v>1815</v>
      </c>
      <c r="I107" s="144">
        <v>11</v>
      </c>
      <c r="J107" s="219">
        <f>M107*1.3</f>
        <v>1480.7</v>
      </c>
      <c r="K107" s="220">
        <f>J107*0.95</f>
        <v>1406.665</v>
      </c>
      <c r="L107" s="221">
        <f>M107*1.05</f>
        <v>1195.95</v>
      </c>
      <c r="M107" s="220">
        <f>ROUND(1085*1.05,0)</f>
        <v>1139</v>
      </c>
      <c r="N107" s="224">
        <f>M107/1.2</f>
        <v>949.16666666666674</v>
      </c>
      <c r="O107" s="134"/>
      <c r="P107" s="135"/>
      <c r="Q107" s="46"/>
    </row>
    <row r="108" spans="1:17" ht="15" thickBot="1">
      <c r="A108" s="688" t="s">
        <v>34</v>
      </c>
      <c r="B108" s="689"/>
      <c r="C108" s="689"/>
      <c r="D108" s="689"/>
      <c r="E108" s="689"/>
      <c r="F108" s="689"/>
      <c r="G108" s="689"/>
      <c r="H108" s="689"/>
      <c r="I108" s="689"/>
      <c r="J108" s="689"/>
      <c r="K108" s="689"/>
      <c r="L108" s="689"/>
      <c r="M108" s="689"/>
      <c r="N108" s="690"/>
      <c r="O108" s="134"/>
      <c r="P108" s="135">
        <v>0</v>
      </c>
      <c r="Q108" s="50"/>
    </row>
    <row r="109" spans="1:17" ht="18">
      <c r="A109" s="699">
        <v>13</v>
      </c>
      <c r="B109" s="745"/>
      <c r="C109" s="746" t="s">
        <v>6</v>
      </c>
      <c r="D109" s="345" t="s">
        <v>78</v>
      </c>
      <c r="E109" s="741" t="s">
        <v>42</v>
      </c>
      <c r="F109" s="244">
        <v>40</v>
      </c>
      <c r="G109" s="165">
        <v>19.440000000000001</v>
      </c>
      <c r="H109" s="116">
        <v>1781</v>
      </c>
      <c r="I109" s="117">
        <v>11</v>
      </c>
      <c r="J109" s="171">
        <f t="shared" ref="J109:J125" si="10">ROUND(M109+M109*R109,0)</f>
        <v>546</v>
      </c>
      <c r="K109" s="172">
        <f t="shared" ref="K109:K120" si="11">ROUND(J109-(J109*S109),0)</f>
        <v>546</v>
      </c>
      <c r="L109" s="173">
        <f>M109*1.03</f>
        <v>562.38</v>
      </c>
      <c r="M109" s="172">
        <f>ROUND(520*1.05,0)</f>
        <v>546</v>
      </c>
      <c r="N109" s="174">
        <f t="shared" si="0"/>
        <v>455</v>
      </c>
      <c r="O109" s="134"/>
      <c r="P109" s="135">
        <v>361.02</v>
      </c>
      <c r="Q109" s="15">
        <v>406</v>
      </c>
    </row>
    <row r="110" spans="1:17" ht="18">
      <c r="A110" s="699"/>
      <c r="B110" s="745"/>
      <c r="C110" s="746"/>
      <c r="D110" s="343" t="s">
        <v>78</v>
      </c>
      <c r="E110" s="810"/>
      <c r="F110" s="233">
        <v>60</v>
      </c>
      <c r="G110" s="166">
        <v>12.96</v>
      </c>
      <c r="H110" s="118">
        <v>1785</v>
      </c>
      <c r="I110" s="119">
        <v>11</v>
      </c>
      <c r="J110" s="175">
        <f t="shared" si="10"/>
        <v>656</v>
      </c>
      <c r="K110" s="3">
        <f t="shared" si="11"/>
        <v>656</v>
      </c>
      <c r="L110" s="30">
        <f>M110*1.03</f>
        <v>675.68000000000006</v>
      </c>
      <c r="M110" s="3">
        <f>ROUND(625*1.05,0)</f>
        <v>656</v>
      </c>
      <c r="N110" s="176">
        <f t="shared" si="0"/>
        <v>546.66999999999996</v>
      </c>
      <c r="O110" s="134"/>
      <c r="P110" s="135">
        <v>433.9</v>
      </c>
      <c r="Q110" s="15">
        <v>488</v>
      </c>
    </row>
    <row r="111" spans="1:17" ht="18.600000000000001" thickBot="1">
      <c r="A111" s="699"/>
      <c r="B111" s="745"/>
      <c r="C111" s="746"/>
      <c r="D111" s="346"/>
      <c r="E111" s="742"/>
      <c r="F111" s="245">
        <v>80</v>
      </c>
      <c r="G111" s="138">
        <v>10.8</v>
      </c>
      <c r="H111" s="120">
        <v>1982</v>
      </c>
      <c r="I111" s="121">
        <v>10</v>
      </c>
      <c r="J111" s="177">
        <f t="shared" si="10"/>
        <v>793</v>
      </c>
      <c r="K111" s="4">
        <f t="shared" si="11"/>
        <v>793</v>
      </c>
      <c r="L111" s="178">
        <f>M111*1.03</f>
        <v>816.79000000000008</v>
      </c>
      <c r="M111" s="4">
        <f>ROUND(755*1.05,0)</f>
        <v>793</v>
      </c>
      <c r="N111" s="179">
        <f t="shared" ref="N111:N120" si="12">ROUND(M111/1.2,2)</f>
        <v>660.83</v>
      </c>
      <c r="O111" s="134"/>
      <c r="P111" s="135">
        <v>523.73</v>
      </c>
      <c r="Q111" s="41">
        <v>589</v>
      </c>
    </row>
    <row r="112" spans="1:17" ht="18.600000000000001" thickBot="1">
      <c r="A112" s="699"/>
      <c r="B112" s="270"/>
      <c r="C112" s="747"/>
      <c r="D112" s="204"/>
      <c r="E112" s="232" t="s">
        <v>20</v>
      </c>
      <c r="F112" s="232">
        <v>70</v>
      </c>
      <c r="G112" s="231">
        <v>12.67</v>
      </c>
      <c r="H112" s="298">
        <v>2046</v>
      </c>
      <c r="I112" s="344">
        <v>9</v>
      </c>
      <c r="J112" s="92">
        <v>788</v>
      </c>
      <c r="K112" s="229">
        <v>764</v>
      </c>
      <c r="L112" s="93">
        <v>737.48</v>
      </c>
      <c r="M112" s="229">
        <v>716</v>
      </c>
      <c r="N112" s="94">
        <v>596.66999999999996</v>
      </c>
      <c r="O112" s="134"/>
      <c r="P112" s="135"/>
      <c r="Q112" s="41"/>
    </row>
    <row r="113" spans="1:17" ht="18">
      <c r="A113" s="699"/>
      <c r="B113" s="811"/>
      <c r="C113" s="726" t="s">
        <v>38</v>
      </c>
      <c r="D113" s="96" t="s">
        <v>78</v>
      </c>
      <c r="E113" s="741" t="s">
        <v>42</v>
      </c>
      <c r="F113" s="244">
        <v>40</v>
      </c>
      <c r="G113" s="165">
        <v>19.440000000000001</v>
      </c>
      <c r="H113" s="116">
        <v>1781</v>
      </c>
      <c r="I113" s="117">
        <v>11</v>
      </c>
      <c r="J113" s="171">
        <f t="shared" si="10"/>
        <v>618</v>
      </c>
      <c r="K113" s="172">
        <f t="shared" si="11"/>
        <v>618</v>
      </c>
      <c r="L113" s="173">
        <f>M113*1.04</f>
        <v>642.72</v>
      </c>
      <c r="M113" s="172">
        <f>ROUND(589*1.05,0)</f>
        <v>618</v>
      </c>
      <c r="N113" s="174">
        <f t="shared" si="12"/>
        <v>515</v>
      </c>
      <c r="O113" s="134"/>
      <c r="P113" s="135">
        <v>407.63</v>
      </c>
      <c r="Q113" s="15">
        <v>458</v>
      </c>
    </row>
    <row r="114" spans="1:17" ht="18.600000000000001" thickBot="1">
      <c r="A114" s="699"/>
      <c r="B114" s="812"/>
      <c r="C114" s="727"/>
      <c r="D114" s="260" t="s">
        <v>78</v>
      </c>
      <c r="E114" s="742"/>
      <c r="F114" s="245">
        <v>60</v>
      </c>
      <c r="G114" s="138">
        <v>12.96</v>
      </c>
      <c r="H114" s="120">
        <v>1785</v>
      </c>
      <c r="I114" s="121">
        <v>11</v>
      </c>
      <c r="J114" s="177">
        <f t="shared" si="10"/>
        <v>758</v>
      </c>
      <c r="K114" s="4">
        <f t="shared" si="11"/>
        <v>758</v>
      </c>
      <c r="L114" s="178">
        <f t="shared" ref="L114:L120" si="13">M114*1.04</f>
        <v>788.32</v>
      </c>
      <c r="M114" s="4">
        <f>ROUND(722*1.05,0)</f>
        <v>758</v>
      </c>
      <c r="N114" s="179">
        <f t="shared" si="12"/>
        <v>631.66999999999996</v>
      </c>
      <c r="O114" s="134"/>
      <c r="P114" s="135">
        <v>501.69</v>
      </c>
      <c r="Q114" s="15">
        <v>564</v>
      </c>
    </row>
    <row r="115" spans="1:17" ht="18">
      <c r="A115" s="699"/>
      <c r="B115" s="423"/>
      <c r="C115" s="813" t="s">
        <v>12</v>
      </c>
      <c r="D115" s="95" t="s">
        <v>78</v>
      </c>
      <c r="E115" s="741" t="s">
        <v>42</v>
      </c>
      <c r="F115" s="244">
        <v>40</v>
      </c>
      <c r="G115" s="165">
        <v>19.440000000000001</v>
      </c>
      <c r="H115" s="116">
        <v>1781</v>
      </c>
      <c r="I115" s="117">
        <v>11</v>
      </c>
      <c r="J115" s="171">
        <f t="shared" si="10"/>
        <v>618</v>
      </c>
      <c r="K115" s="172">
        <f t="shared" si="11"/>
        <v>618</v>
      </c>
      <c r="L115" s="173">
        <f t="shared" si="13"/>
        <v>642.72</v>
      </c>
      <c r="M115" s="172">
        <f>ROUND(589*1.05,0)</f>
        <v>618</v>
      </c>
      <c r="N115" s="174">
        <f t="shared" si="12"/>
        <v>515</v>
      </c>
      <c r="O115" s="134"/>
      <c r="P115" s="135">
        <v>407.63</v>
      </c>
      <c r="Q115" s="15">
        <v>458</v>
      </c>
    </row>
    <row r="116" spans="1:17" ht="18.600000000000001" thickBot="1">
      <c r="A116" s="699"/>
      <c r="B116" s="424"/>
      <c r="C116" s="814"/>
      <c r="D116" s="153" t="s">
        <v>78</v>
      </c>
      <c r="E116" s="742"/>
      <c r="F116" s="245">
        <v>60</v>
      </c>
      <c r="G116" s="138">
        <v>12.96</v>
      </c>
      <c r="H116" s="120">
        <v>1785</v>
      </c>
      <c r="I116" s="121">
        <v>11</v>
      </c>
      <c r="J116" s="177">
        <f t="shared" si="10"/>
        <v>758</v>
      </c>
      <c r="K116" s="4">
        <f t="shared" si="11"/>
        <v>758</v>
      </c>
      <c r="L116" s="178">
        <f t="shared" si="13"/>
        <v>788.32</v>
      </c>
      <c r="M116" s="4">
        <f>ROUND(722*1.05,0)</f>
        <v>758</v>
      </c>
      <c r="N116" s="179">
        <f t="shared" si="12"/>
        <v>631.66999999999996</v>
      </c>
      <c r="O116" s="134"/>
      <c r="P116" s="135">
        <v>501.69</v>
      </c>
      <c r="Q116" s="15">
        <v>564</v>
      </c>
    </row>
    <row r="117" spans="1:17" ht="18">
      <c r="A117" s="699"/>
      <c r="B117" s="743"/>
      <c r="C117" s="726" t="s">
        <v>13</v>
      </c>
      <c r="D117" s="189" t="s">
        <v>78</v>
      </c>
      <c r="E117" s="741" t="s">
        <v>42</v>
      </c>
      <c r="F117" s="244">
        <v>40</v>
      </c>
      <c r="G117" s="165">
        <v>19.440000000000001</v>
      </c>
      <c r="H117" s="116">
        <v>1781</v>
      </c>
      <c r="I117" s="117">
        <v>11</v>
      </c>
      <c r="J117" s="171">
        <f t="shared" si="10"/>
        <v>618</v>
      </c>
      <c r="K117" s="172">
        <f t="shared" si="11"/>
        <v>618</v>
      </c>
      <c r="L117" s="173">
        <f t="shared" si="13"/>
        <v>642.72</v>
      </c>
      <c r="M117" s="172">
        <f>ROUND(589*1.05,0)</f>
        <v>618</v>
      </c>
      <c r="N117" s="174">
        <f t="shared" si="12"/>
        <v>515</v>
      </c>
      <c r="O117" s="134"/>
      <c r="P117" s="135">
        <v>407.63</v>
      </c>
      <c r="Q117" s="15">
        <v>485</v>
      </c>
    </row>
    <row r="118" spans="1:17" ht="18.600000000000001" thickBot="1">
      <c r="A118" s="699"/>
      <c r="B118" s="747"/>
      <c r="C118" s="727"/>
      <c r="D118" s="260" t="s">
        <v>78</v>
      </c>
      <c r="E118" s="742"/>
      <c r="F118" s="245">
        <v>60</v>
      </c>
      <c r="G118" s="138">
        <v>12.96</v>
      </c>
      <c r="H118" s="120">
        <v>1785</v>
      </c>
      <c r="I118" s="121">
        <v>11</v>
      </c>
      <c r="J118" s="177">
        <f t="shared" si="10"/>
        <v>758</v>
      </c>
      <c r="K118" s="4">
        <f t="shared" si="11"/>
        <v>758</v>
      </c>
      <c r="L118" s="178">
        <f t="shared" si="13"/>
        <v>788.32</v>
      </c>
      <c r="M118" s="4">
        <f>ROUND(722*1.05,0)</f>
        <v>758</v>
      </c>
      <c r="N118" s="179">
        <f t="shared" si="12"/>
        <v>631.66999999999996</v>
      </c>
      <c r="O118" s="134"/>
      <c r="P118" s="135">
        <v>501.69</v>
      </c>
      <c r="Q118" s="15">
        <v>564</v>
      </c>
    </row>
    <row r="119" spans="1:17" ht="18">
      <c r="A119" s="699"/>
      <c r="B119" s="743"/>
      <c r="C119" s="779" t="s">
        <v>44</v>
      </c>
      <c r="D119" s="95" t="s">
        <v>78</v>
      </c>
      <c r="E119" s="741" t="s">
        <v>42</v>
      </c>
      <c r="F119" s="244">
        <v>40</v>
      </c>
      <c r="G119" s="165">
        <v>19.440000000000001</v>
      </c>
      <c r="H119" s="116">
        <v>1781</v>
      </c>
      <c r="I119" s="117">
        <v>11</v>
      </c>
      <c r="J119" s="171">
        <f t="shared" si="10"/>
        <v>618</v>
      </c>
      <c r="K119" s="172">
        <f t="shared" si="11"/>
        <v>618</v>
      </c>
      <c r="L119" s="173">
        <f t="shared" si="13"/>
        <v>642.72</v>
      </c>
      <c r="M119" s="172">
        <f>ROUND(589*1.05,0)</f>
        <v>618</v>
      </c>
      <c r="N119" s="174">
        <f>ROUND(M119/1.2,2)</f>
        <v>515</v>
      </c>
      <c r="O119" s="134"/>
      <c r="P119" s="135">
        <v>407.63</v>
      </c>
      <c r="Q119" s="15">
        <v>485</v>
      </c>
    </row>
    <row r="120" spans="1:17" ht="18.600000000000001" thickBot="1">
      <c r="A120" s="699"/>
      <c r="B120" s="747"/>
      <c r="C120" s="780"/>
      <c r="D120" s="153" t="s">
        <v>78</v>
      </c>
      <c r="E120" s="742"/>
      <c r="F120" s="245">
        <v>60</v>
      </c>
      <c r="G120" s="138">
        <v>12.96</v>
      </c>
      <c r="H120" s="120">
        <v>1785</v>
      </c>
      <c r="I120" s="121">
        <v>11</v>
      </c>
      <c r="J120" s="177">
        <f t="shared" si="10"/>
        <v>758</v>
      </c>
      <c r="K120" s="4">
        <f t="shared" si="11"/>
        <v>758</v>
      </c>
      <c r="L120" s="178">
        <f t="shared" si="13"/>
        <v>788.32</v>
      </c>
      <c r="M120" s="4">
        <f>ROUND(722*1.05,0)</f>
        <v>758</v>
      </c>
      <c r="N120" s="179">
        <f t="shared" si="12"/>
        <v>631.66999999999996</v>
      </c>
      <c r="O120" s="134"/>
      <c r="P120" s="135">
        <v>501.69</v>
      </c>
      <c r="Q120" s="15">
        <v>564</v>
      </c>
    </row>
    <row r="121" spans="1:17" ht="18">
      <c r="A121" s="699"/>
      <c r="B121" s="263"/>
      <c r="C121" s="831" t="s">
        <v>14</v>
      </c>
      <c r="D121" s="189"/>
      <c r="E121" s="741" t="s">
        <v>42</v>
      </c>
      <c r="F121" s="244">
        <v>40</v>
      </c>
      <c r="G121" s="165">
        <v>19.440000000000001</v>
      </c>
      <c r="H121" s="116">
        <v>1781</v>
      </c>
      <c r="I121" s="117">
        <v>11</v>
      </c>
      <c r="J121" s="171">
        <f>ROUND(M121+M121*R121,0)</f>
        <v>618</v>
      </c>
      <c r="K121" s="172">
        <f>ROUND(J121-(J121*S121),0)</f>
        <v>618</v>
      </c>
      <c r="L121" s="173">
        <f>M121*1.04</f>
        <v>642.72</v>
      </c>
      <c r="M121" s="172">
        <f>ROUND(589*1.05,0)</f>
        <v>618</v>
      </c>
      <c r="N121" s="174">
        <f>ROUND(M121/1.2,2)</f>
        <v>515</v>
      </c>
      <c r="O121" s="134"/>
      <c r="P121" s="135">
        <v>676.27</v>
      </c>
      <c r="Q121" s="41">
        <v>760</v>
      </c>
    </row>
    <row r="122" spans="1:17" ht="18.600000000000001" thickBot="1">
      <c r="A122" s="699"/>
      <c r="B122" s="274"/>
      <c r="C122" s="832"/>
      <c r="D122" s="153"/>
      <c r="E122" s="742"/>
      <c r="F122" s="245">
        <v>60</v>
      </c>
      <c r="G122" s="138">
        <v>12.96</v>
      </c>
      <c r="H122" s="120">
        <v>1785</v>
      </c>
      <c r="I122" s="121">
        <v>11</v>
      </c>
      <c r="J122" s="177">
        <f>ROUND(M122+M122*R122,0)</f>
        <v>758</v>
      </c>
      <c r="K122" s="4">
        <f>ROUND(J122-(J122*S122),0)</f>
        <v>758</v>
      </c>
      <c r="L122" s="178">
        <f>M122*1.04</f>
        <v>788.32</v>
      </c>
      <c r="M122" s="4">
        <f>ROUND(722*1.05,0)</f>
        <v>758</v>
      </c>
      <c r="N122" s="179">
        <f>ROUND(M122/1.2,2)</f>
        <v>631.66999999999996</v>
      </c>
      <c r="O122" s="134"/>
      <c r="P122" s="135">
        <v>676.27</v>
      </c>
      <c r="Q122" s="41">
        <v>760</v>
      </c>
    </row>
    <row r="123" spans="1:17" ht="57.6">
      <c r="A123" s="699"/>
      <c r="B123" s="269"/>
      <c r="C123" s="271" t="s">
        <v>101</v>
      </c>
      <c r="D123" s="189" t="s">
        <v>78</v>
      </c>
      <c r="E123" s="244" t="s">
        <v>42</v>
      </c>
      <c r="F123" s="360">
        <v>40</v>
      </c>
      <c r="G123" s="165">
        <v>19.440000000000001</v>
      </c>
      <c r="H123" s="116">
        <v>1781</v>
      </c>
      <c r="I123" s="117">
        <v>11</v>
      </c>
      <c r="J123" s="171">
        <f t="shared" si="10"/>
        <v>859</v>
      </c>
      <c r="K123" s="172">
        <f>J123*0.95</f>
        <v>816.05</v>
      </c>
      <c r="L123" s="173">
        <f>M123*1.05</f>
        <v>901.95</v>
      </c>
      <c r="M123" s="172">
        <f>ROUND(818*1.05,0)</f>
        <v>859</v>
      </c>
      <c r="N123" s="174">
        <f t="shared" ref="N123:N140" si="14">ROUND(M123/1.2,2)</f>
        <v>715.83</v>
      </c>
      <c r="O123" s="134"/>
      <c r="P123" s="135">
        <v>606.78</v>
      </c>
      <c r="Q123" s="15">
        <v>695</v>
      </c>
    </row>
    <row r="124" spans="1:17" ht="43.8" thickBot="1">
      <c r="A124" s="699"/>
      <c r="B124" s="270"/>
      <c r="C124" s="272" t="s">
        <v>86</v>
      </c>
      <c r="D124" s="105"/>
      <c r="E124" s="245" t="s">
        <v>42</v>
      </c>
      <c r="F124" s="361">
        <v>60</v>
      </c>
      <c r="G124" s="138">
        <v>12.96</v>
      </c>
      <c r="H124" s="120">
        <v>1785</v>
      </c>
      <c r="I124" s="121">
        <v>11</v>
      </c>
      <c r="J124" s="177">
        <f t="shared" si="10"/>
        <v>1107</v>
      </c>
      <c r="K124" s="4">
        <f>J124*0.95</f>
        <v>1051.6499999999999</v>
      </c>
      <c r="L124" s="178">
        <f>M124*1.05</f>
        <v>1162.3500000000001</v>
      </c>
      <c r="M124" s="4">
        <f>ROUND(1054*1.05,0)</f>
        <v>1107</v>
      </c>
      <c r="N124" s="179">
        <f t="shared" si="14"/>
        <v>922.5</v>
      </c>
      <c r="O124" s="134"/>
      <c r="P124" s="135">
        <v>782.2</v>
      </c>
      <c r="Q124" s="15">
        <v>896</v>
      </c>
    </row>
    <row r="125" spans="1:17" ht="28.8">
      <c r="A125" s="699"/>
      <c r="B125" s="269"/>
      <c r="C125" s="265" t="s">
        <v>92</v>
      </c>
      <c r="D125" s="96" t="s">
        <v>78</v>
      </c>
      <c r="E125" s="244" t="s">
        <v>42</v>
      </c>
      <c r="F125" s="360">
        <v>40</v>
      </c>
      <c r="G125" s="165">
        <v>19.440000000000001</v>
      </c>
      <c r="H125" s="116">
        <v>1781</v>
      </c>
      <c r="I125" s="117">
        <v>11</v>
      </c>
      <c r="J125" s="171">
        <f t="shared" si="10"/>
        <v>859</v>
      </c>
      <c r="K125" s="172">
        <f>J125*0.95</f>
        <v>816.05</v>
      </c>
      <c r="L125" s="173">
        <f>M125*1.05</f>
        <v>901.95</v>
      </c>
      <c r="M125" s="172">
        <f>ROUND(818*1.05,0)</f>
        <v>859</v>
      </c>
      <c r="N125" s="174">
        <f t="shared" si="14"/>
        <v>715.83</v>
      </c>
      <c r="O125" s="134"/>
      <c r="P125" s="135">
        <v>606.78</v>
      </c>
      <c r="Q125" s="15">
        <v>695</v>
      </c>
    </row>
    <row r="126" spans="1:17" ht="29.4" thickBot="1">
      <c r="A126" s="699"/>
      <c r="B126" s="270"/>
      <c r="C126" s="262" t="s">
        <v>93</v>
      </c>
      <c r="D126" s="105"/>
      <c r="E126" s="245" t="s">
        <v>42</v>
      </c>
      <c r="F126" s="361">
        <v>60</v>
      </c>
      <c r="G126" s="138">
        <v>12.96</v>
      </c>
      <c r="H126" s="120">
        <v>1785</v>
      </c>
      <c r="I126" s="121">
        <v>11</v>
      </c>
      <c r="J126" s="177">
        <f>ROUND(M126+M126*R126,0)</f>
        <v>1107</v>
      </c>
      <c r="K126" s="4">
        <f>J126*0.95</f>
        <v>1051.6499999999999</v>
      </c>
      <c r="L126" s="178">
        <f>M126*1.05</f>
        <v>1162.3500000000001</v>
      </c>
      <c r="M126" s="4">
        <f>ROUND(1054*1.05,0)</f>
        <v>1107</v>
      </c>
      <c r="N126" s="179">
        <f>ROUND(M126/1.2,2)</f>
        <v>922.5</v>
      </c>
      <c r="O126" s="134"/>
      <c r="P126" s="135"/>
      <c r="Q126" s="261"/>
    </row>
    <row r="127" spans="1:17" ht="15" thickBot="1">
      <c r="A127" s="688" t="s">
        <v>43</v>
      </c>
      <c r="B127" s="689"/>
      <c r="C127" s="689"/>
      <c r="D127" s="689"/>
      <c r="E127" s="689"/>
      <c r="F127" s="689"/>
      <c r="G127" s="689"/>
      <c r="H127" s="689"/>
      <c r="I127" s="689"/>
      <c r="J127" s="689"/>
      <c r="K127" s="689"/>
      <c r="L127" s="689"/>
      <c r="M127" s="689"/>
      <c r="N127" s="690"/>
      <c r="O127" s="134"/>
      <c r="P127" s="135">
        <v>0</v>
      </c>
      <c r="Q127" s="52"/>
    </row>
    <row r="128" spans="1:17" ht="18.600000000000001" thickBot="1">
      <c r="A128" s="693">
        <v>14</v>
      </c>
      <c r="B128" s="769"/>
      <c r="C128" s="748" t="s">
        <v>6</v>
      </c>
      <c r="D128" s="95"/>
      <c r="E128" s="246" t="s">
        <v>39</v>
      </c>
      <c r="F128" s="766">
        <v>60</v>
      </c>
      <c r="G128" s="255">
        <v>11.88</v>
      </c>
      <c r="H128" s="236">
        <v>1590</v>
      </c>
      <c r="I128" s="247">
        <v>12</v>
      </c>
      <c r="J128" s="171">
        <f t="shared" ref="J128:J140" si="15">ROUND(M128+M128*R128,0)</f>
        <v>656</v>
      </c>
      <c r="K128" s="172">
        <f t="shared" ref="K128:K136" si="16">ROUND(J128-(J128*S128),0)</f>
        <v>656</v>
      </c>
      <c r="L128" s="173">
        <f>M128*1.03</f>
        <v>675.68000000000006</v>
      </c>
      <c r="M128" s="172">
        <f>ROUND(625*1.05,0)</f>
        <v>656</v>
      </c>
      <c r="N128" s="214">
        <f t="shared" si="14"/>
        <v>546.66999999999996</v>
      </c>
      <c r="O128" s="134"/>
      <c r="P128" s="135">
        <v>433.9</v>
      </c>
      <c r="Q128" s="53">
        <v>488</v>
      </c>
    </row>
    <row r="129" spans="1:17" ht="18">
      <c r="A129" s="754"/>
      <c r="B129" s="770"/>
      <c r="C129" s="816"/>
      <c r="D129" s="98" t="s">
        <v>78</v>
      </c>
      <c r="E129" s="122" t="s">
        <v>37</v>
      </c>
      <c r="F129" s="767"/>
      <c r="G129" s="248">
        <v>14.4</v>
      </c>
      <c r="H129" s="237">
        <v>1988</v>
      </c>
      <c r="I129" s="239">
        <v>10</v>
      </c>
      <c r="J129" s="175">
        <f t="shared" si="15"/>
        <v>656</v>
      </c>
      <c r="K129" s="3">
        <f t="shared" si="16"/>
        <v>656</v>
      </c>
      <c r="L129" s="30">
        <f>M129*1.03</f>
        <v>675.68000000000006</v>
      </c>
      <c r="M129" s="3">
        <f>ROUND(625*1.05,0)</f>
        <v>656</v>
      </c>
      <c r="N129" s="218">
        <f>ROUND(M129/1.2,2)</f>
        <v>546.66999999999996</v>
      </c>
      <c r="O129" s="134"/>
      <c r="P129" s="135">
        <v>433.9</v>
      </c>
      <c r="Q129" s="42">
        <v>488</v>
      </c>
    </row>
    <row r="130" spans="1:17" ht="18.600000000000001" thickBot="1">
      <c r="A130" s="699"/>
      <c r="B130" s="737"/>
      <c r="C130" s="749"/>
      <c r="D130" s="260"/>
      <c r="E130" s="276" t="s">
        <v>59</v>
      </c>
      <c r="F130" s="767"/>
      <c r="G130" s="327">
        <v>11.52</v>
      </c>
      <c r="H130" s="160">
        <v>1641</v>
      </c>
      <c r="I130" s="277">
        <v>12</v>
      </c>
      <c r="J130" s="278">
        <f t="shared" si="15"/>
        <v>656</v>
      </c>
      <c r="K130" s="180">
        <f t="shared" si="16"/>
        <v>656</v>
      </c>
      <c r="L130" s="33">
        <f>M130*1.03</f>
        <v>675.68000000000006</v>
      </c>
      <c r="M130" s="180">
        <f>ROUND(625*1.05,0)</f>
        <v>656</v>
      </c>
      <c r="N130" s="279">
        <f>ROUND(M130/1.2,2)</f>
        <v>546.66999999999996</v>
      </c>
      <c r="O130" s="134"/>
      <c r="P130" s="135">
        <v>433.9</v>
      </c>
      <c r="Q130" s="43">
        <v>488</v>
      </c>
    </row>
    <row r="131" spans="1:17" ht="18">
      <c r="A131" s="754"/>
      <c r="B131" s="821"/>
      <c r="C131" s="823" t="s">
        <v>38</v>
      </c>
      <c r="D131" s="100"/>
      <c r="E131" s="246" t="s">
        <v>39</v>
      </c>
      <c r="F131" s="767"/>
      <c r="G131" s="255">
        <v>11.88</v>
      </c>
      <c r="H131" s="236">
        <v>1590</v>
      </c>
      <c r="I131" s="247">
        <v>12</v>
      </c>
      <c r="J131" s="171">
        <f t="shared" si="15"/>
        <v>758</v>
      </c>
      <c r="K131" s="172">
        <f t="shared" si="16"/>
        <v>758</v>
      </c>
      <c r="L131" s="173">
        <f t="shared" ref="L131:L136" si="17">M131*1.04</f>
        <v>788.32</v>
      </c>
      <c r="M131" s="172">
        <f t="shared" ref="M131:M136" si="18">ROUND(722*1.05,0)</f>
        <v>758</v>
      </c>
      <c r="N131" s="214">
        <f t="shared" si="14"/>
        <v>631.66999999999996</v>
      </c>
      <c r="O131" s="134"/>
      <c r="P131" s="135">
        <v>501.69</v>
      </c>
      <c r="Q131" s="44">
        <v>564</v>
      </c>
    </row>
    <row r="132" spans="1:17" ht="18.600000000000001" thickBot="1">
      <c r="A132" s="754"/>
      <c r="B132" s="822"/>
      <c r="C132" s="824"/>
      <c r="D132" s="105" t="s">
        <v>78</v>
      </c>
      <c r="E132" s="90" t="s">
        <v>37</v>
      </c>
      <c r="F132" s="767"/>
      <c r="G132" s="256">
        <v>14.4</v>
      </c>
      <c r="H132" s="238">
        <v>1988</v>
      </c>
      <c r="I132" s="250">
        <v>10</v>
      </c>
      <c r="J132" s="177">
        <f t="shared" si="15"/>
        <v>758</v>
      </c>
      <c r="K132" s="4">
        <f t="shared" si="16"/>
        <v>758</v>
      </c>
      <c r="L132" s="178">
        <f t="shared" si="17"/>
        <v>788.32</v>
      </c>
      <c r="M132" s="4">
        <f t="shared" si="18"/>
        <v>758</v>
      </c>
      <c r="N132" s="222">
        <f t="shared" si="14"/>
        <v>631.66999999999996</v>
      </c>
      <c r="O132" s="134"/>
      <c r="P132" s="135">
        <v>501.69</v>
      </c>
      <c r="Q132" s="44">
        <v>564</v>
      </c>
    </row>
    <row r="133" spans="1:17" ht="18">
      <c r="A133" s="754"/>
      <c r="B133" s="771"/>
      <c r="C133" s="748" t="s">
        <v>44</v>
      </c>
      <c r="D133" s="95"/>
      <c r="E133" s="246" t="s">
        <v>39</v>
      </c>
      <c r="F133" s="767"/>
      <c r="G133" s="255">
        <v>11.88</v>
      </c>
      <c r="H133" s="236">
        <v>1590</v>
      </c>
      <c r="I133" s="247">
        <v>12</v>
      </c>
      <c r="J133" s="171">
        <f t="shared" si="15"/>
        <v>758</v>
      </c>
      <c r="K133" s="172">
        <f t="shared" si="16"/>
        <v>758</v>
      </c>
      <c r="L133" s="173">
        <f t="shared" si="17"/>
        <v>788.32</v>
      </c>
      <c r="M133" s="172">
        <f t="shared" si="18"/>
        <v>758</v>
      </c>
      <c r="N133" s="214">
        <f t="shared" si="14"/>
        <v>631.66999999999996</v>
      </c>
      <c r="O133" s="134"/>
      <c r="P133" s="135">
        <v>501.69</v>
      </c>
      <c r="Q133" s="44">
        <v>564</v>
      </c>
    </row>
    <row r="134" spans="1:17" ht="18.600000000000001" thickBot="1">
      <c r="A134" s="754"/>
      <c r="B134" s="772"/>
      <c r="C134" s="749"/>
      <c r="D134" s="105" t="s">
        <v>78</v>
      </c>
      <c r="E134" s="90" t="s">
        <v>37</v>
      </c>
      <c r="F134" s="767"/>
      <c r="G134" s="256">
        <v>14.4</v>
      </c>
      <c r="H134" s="238">
        <v>1988</v>
      </c>
      <c r="I134" s="250">
        <v>10</v>
      </c>
      <c r="J134" s="177">
        <f t="shared" si="15"/>
        <v>758</v>
      </c>
      <c r="K134" s="4">
        <f t="shared" si="16"/>
        <v>758</v>
      </c>
      <c r="L134" s="178">
        <f t="shared" si="17"/>
        <v>788.32</v>
      </c>
      <c r="M134" s="4">
        <f t="shared" si="18"/>
        <v>758</v>
      </c>
      <c r="N134" s="222">
        <f t="shared" si="14"/>
        <v>631.66999999999996</v>
      </c>
      <c r="O134" s="134"/>
      <c r="P134" s="135">
        <v>501.69</v>
      </c>
      <c r="Q134" s="44">
        <v>564</v>
      </c>
    </row>
    <row r="135" spans="1:17" ht="18">
      <c r="A135" s="699"/>
      <c r="B135" s="363"/>
      <c r="C135" s="748" t="s">
        <v>14</v>
      </c>
      <c r="D135" s="95"/>
      <c r="E135" s="246" t="s">
        <v>39</v>
      </c>
      <c r="F135" s="767"/>
      <c r="G135" s="255">
        <v>11.88</v>
      </c>
      <c r="H135" s="236">
        <v>1590</v>
      </c>
      <c r="I135" s="247">
        <v>12</v>
      </c>
      <c r="J135" s="171">
        <f t="shared" si="15"/>
        <v>758</v>
      </c>
      <c r="K135" s="172">
        <f t="shared" si="16"/>
        <v>758</v>
      </c>
      <c r="L135" s="173">
        <f t="shared" si="17"/>
        <v>788.32</v>
      </c>
      <c r="M135" s="172">
        <f t="shared" si="18"/>
        <v>758</v>
      </c>
      <c r="N135" s="214">
        <f t="shared" si="14"/>
        <v>631.66999999999996</v>
      </c>
      <c r="O135" s="134"/>
      <c r="P135" s="135">
        <v>501.69</v>
      </c>
      <c r="Q135" s="43">
        <v>564</v>
      </c>
    </row>
    <row r="136" spans="1:17" ht="18.600000000000001" thickBot="1">
      <c r="A136" s="754"/>
      <c r="B136" s="254"/>
      <c r="C136" s="749"/>
      <c r="D136" s="153"/>
      <c r="E136" s="90" t="s">
        <v>37</v>
      </c>
      <c r="F136" s="767"/>
      <c r="G136" s="256">
        <v>14.4</v>
      </c>
      <c r="H136" s="238">
        <v>1988</v>
      </c>
      <c r="I136" s="250">
        <v>10</v>
      </c>
      <c r="J136" s="177">
        <f t="shared" si="15"/>
        <v>758</v>
      </c>
      <c r="K136" s="4">
        <f t="shared" si="16"/>
        <v>758</v>
      </c>
      <c r="L136" s="178">
        <f t="shared" si="17"/>
        <v>788.32</v>
      </c>
      <c r="M136" s="4">
        <f t="shared" si="18"/>
        <v>758</v>
      </c>
      <c r="N136" s="222">
        <f t="shared" si="14"/>
        <v>631.66999999999996</v>
      </c>
      <c r="O136" s="134"/>
      <c r="P136" s="135">
        <v>501.69</v>
      </c>
      <c r="Q136" s="43">
        <v>564</v>
      </c>
    </row>
    <row r="137" spans="1:17" ht="18.600000000000001" thickBot="1">
      <c r="A137" s="699"/>
      <c r="B137" s="123"/>
      <c r="C137" s="340" t="s">
        <v>12</v>
      </c>
      <c r="D137" s="280"/>
      <c r="E137" s="249" t="s">
        <v>39</v>
      </c>
      <c r="F137" s="767"/>
      <c r="G137" s="230">
        <v>11.88</v>
      </c>
      <c r="H137" s="297">
        <v>1590</v>
      </c>
      <c r="I137" s="281">
        <v>12</v>
      </c>
      <c r="J137" s="264">
        <f>ROUND(M137+M137*R137,0)</f>
        <v>758</v>
      </c>
      <c r="K137" s="228">
        <f>ROUND(J137-(J137*S137),0)</f>
        <v>758</v>
      </c>
      <c r="L137" s="140">
        <f>M137*1.04</f>
        <v>788.32</v>
      </c>
      <c r="M137" s="228">
        <f>ROUND(722*1.05,0)</f>
        <v>758</v>
      </c>
      <c r="N137" s="282">
        <f>ROUND(M137/1.2,2)</f>
        <v>631.66999999999996</v>
      </c>
      <c r="O137" s="134"/>
      <c r="P137" s="135"/>
      <c r="Q137" s="43">
        <v>564</v>
      </c>
    </row>
    <row r="138" spans="1:17" ht="29.4" thickBot="1">
      <c r="A138" s="699"/>
      <c r="B138" s="296"/>
      <c r="C138" s="342" t="s">
        <v>142</v>
      </c>
      <c r="D138" s="36"/>
      <c r="E138" s="80" t="s">
        <v>37</v>
      </c>
      <c r="F138" s="767"/>
      <c r="G138" s="129">
        <v>14.4</v>
      </c>
      <c r="H138" s="110">
        <v>1988</v>
      </c>
      <c r="I138" s="111">
        <v>10</v>
      </c>
      <c r="J138" s="84">
        <f t="shared" si="15"/>
        <v>1347</v>
      </c>
      <c r="K138" s="85">
        <f>J138*0.95</f>
        <v>1279.6499999999999</v>
      </c>
      <c r="L138" s="73">
        <f>M138*1.05</f>
        <v>1414.3500000000001</v>
      </c>
      <c r="M138" s="85">
        <f>ROUND(1283*1.05,0)</f>
        <v>1347</v>
      </c>
      <c r="N138" s="136">
        <f t="shared" si="14"/>
        <v>1122.5</v>
      </c>
      <c r="O138" s="134"/>
      <c r="P138" s="135">
        <v>890.68</v>
      </c>
      <c r="Q138" s="43">
        <v>1001</v>
      </c>
    </row>
    <row r="139" spans="1:17" ht="29.4" thickBot="1">
      <c r="A139" s="699"/>
      <c r="B139" s="364"/>
      <c r="C139" s="311" t="s">
        <v>143</v>
      </c>
      <c r="D139" s="36"/>
      <c r="E139" s="80" t="s">
        <v>37</v>
      </c>
      <c r="F139" s="767"/>
      <c r="G139" s="129">
        <v>14.4</v>
      </c>
      <c r="H139" s="110">
        <v>1988</v>
      </c>
      <c r="I139" s="111">
        <v>10</v>
      </c>
      <c r="J139" s="84">
        <f t="shared" si="15"/>
        <v>1347</v>
      </c>
      <c r="K139" s="85">
        <f>J139*0.95</f>
        <v>1279.6499999999999</v>
      </c>
      <c r="L139" s="73">
        <f>M139*1.05</f>
        <v>1414.3500000000001</v>
      </c>
      <c r="M139" s="85">
        <f>ROUND(1283*1.05,0)</f>
        <v>1347</v>
      </c>
      <c r="N139" s="136">
        <f t="shared" si="14"/>
        <v>1122.5</v>
      </c>
      <c r="O139" s="134"/>
      <c r="P139" s="135">
        <v>890.68</v>
      </c>
      <c r="Q139" s="43">
        <v>1001</v>
      </c>
    </row>
    <row r="140" spans="1:17" ht="29.4" thickBot="1">
      <c r="A140" s="700"/>
      <c r="B140" s="91"/>
      <c r="C140" s="235" t="s">
        <v>104</v>
      </c>
      <c r="D140" s="36"/>
      <c r="E140" s="80" t="s">
        <v>37</v>
      </c>
      <c r="F140" s="768"/>
      <c r="G140" s="129">
        <v>14.4</v>
      </c>
      <c r="H140" s="110">
        <v>1988</v>
      </c>
      <c r="I140" s="111">
        <v>10</v>
      </c>
      <c r="J140" s="84">
        <f t="shared" si="15"/>
        <v>1347</v>
      </c>
      <c r="K140" s="85">
        <f>J140*0.95</f>
        <v>1279.6499999999999</v>
      </c>
      <c r="L140" s="73">
        <f>M140*1.05</f>
        <v>1414.3500000000001</v>
      </c>
      <c r="M140" s="85">
        <f>ROUND(1283*1.05,0)</f>
        <v>1347</v>
      </c>
      <c r="N140" s="136">
        <f t="shared" si="14"/>
        <v>1122.5</v>
      </c>
      <c r="O140" s="134"/>
      <c r="P140" s="135">
        <v>890.68</v>
      </c>
      <c r="Q140" s="47">
        <v>1001</v>
      </c>
    </row>
    <row r="141" spans="1:17" ht="15" thickBot="1">
      <c r="A141" s="721" t="s">
        <v>35</v>
      </c>
      <c r="B141" s="722"/>
      <c r="C141" s="722"/>
      <c r="D141" s="722"/>
      <c r="E141" s="722"/>
      <c r="F141" s="722"/>
      <c r="G141" s="722"/>
      <c r="H141" s="722"/>
      <c r="I141" s="722"/>
      <c r="J141" s="722"/>
      <c r="K141" s="722"/>
      <c r="L141" s="722"/>
      <c r="M141" s="722"/>
      <c r="N141" s="723"/>
      <c r="O141" s="134"/>
      <c r="P141" s="135">
        <v>0</v>
      </c>
      <c r="Q141" s="62"/>
    </row>
    <row r="142" spans="1:17" ht="18.600000000000001" thickBot="1">
      <c r="A142" s="149">
        <v>15</v>
      </c>
      <c r="B142" s="426"/>
      <c r="C142" s="127" t="s">
        <v>6</v>
      </c>
      <c r="D142" s="82" t="s">
        <v>79</v>
      </c>
      <c r="E142" s="158" t="s">
        <v>18</v>
      </c>
      <c r="F142" s="321">
        <v>100</v>
      </c>
      <c r="G142" s="129">
        <v>10.8</v>
      </c>
      <c r="H142" s="110">
        <v>1552</v>
      </c>
      <c r="I142" s="130">
        <v>12</v>
      </c>
      <c r="J142" s="84">
        <f>ROUND(M142+M142*R142,0)</f>
        <v>758</v>
      </c>
      <c r="K142" s="85">
        <f>J142*0.97</f>
        <v>735.26</v>
      </c>
      <c r="L142" s="73">
        <f>M142*1.03</f>
        <v>780.74</v>
      </c>
      <c r="M142" s="85">
        <f>ROUND(722*1.05,0)</f>
        <v>758</v>
      </c>
      <c r="N142" s="136">
        <f>ROUND(M142/1.2,2)</f>
        <v>631.66999999999996</v>
      </c>
      <c r="O142" s="134"/>
      <c r="P142" s="135">
        <v>501.69</v>
      </c>
      <c r="Q142" s="12">
        <v>564</v>
      </c>
    </row>
    <row r="143" spans="1:17" ht="18.600000000000001" thickBot="1">
      <c r="A143" s="292"/>
      <c r="B143" s="252"/>
      <c r="C143" s="283"/>
      <c r="D143" s="284"/>
      <c r="E143" s="285"/>
      <c r="F143" s="286"/>
      <c r="G143" s="252"/>
      <c r="H143" s="252"/>
      <c r="I143" s="252"/>
      <c r="J143" s="287"/>
      <c r="K143" s="287"/>
      <c r="L143" s="287"/>
      <c r="M143" s="287"/>
      <c r="N143" s="288"/>
      <c r="O143" s="289"/>
      <c r="P143" s="290"/>
      <c r="Q143" s="291"/>
    </row>
    <row r="144" spans="1:17" ht="16.2" thickBot="1">
      <c r="A144" s="682" t="s">
        <v>1</v>
      </c>
      <c r="B144" s="683"/>
      <c r="C144" s="683"/>
      <c r="D144" s="683"/>
      <c r="E144" s="683"/>
      <c r="F144" s="683"/>
      <c r="G144" s="683"/>
      <c r="H144" s="683"/>
      <c r="I144" s="683"/>
      <c r="J144" s="683"/>
      <c r="K144" s="683"/>
      <c r="L144" s="683"/>
      <c r="M144" s="683"/>
      <c r="N144" s="684"/>
      <c r="O144" s="134"/>
      <c r="P144" s="135">
        <v>0</v>
      </c>
      <c r="Q144" s="54"/>
    </row>
    <row r="145" spans="1:17" ht="117.6" thickBot="1">
      <c r="A145" s="75" t="s">
        <v>0</v>
      </c>
      <c r="B145" s="679" t="s">
        <v>5</v>
      </c>
      <c r="C145" s="680"/>
      <c r="D145" s="681"/>
      <c r="E145" s="76" t="s">
        <v>7</v>
      </c>
      <c r="F145" s="76" t="s">
        <v>16</v>
      </c>
      <c r="G145" s="76" t="s">
        <v>134</v>
      </c>
      <c r="H145" s="77" t="s">
        <v>8</v>
      </c>
      <c r="I145" s="76" t="s">
        <v>25</v>
      </c>
      <c r="J145" s="78" t="s">
        <v>33</v>
      </c>
      <c r="K145" s="76" t="s">
        <v>56</v>
      </c>
      <c r="L145" s="77" t="s">
        <v>82</v>
      </c>
      <c r="M145" s="76" t="s">
        <v>53</v>
      </c>
      <c r="N145" s="79" t="s">
        <v>54</v>
      </c>
      <c r="O145" s="74">
        <v>1.05</v>
      </c>
      <c r="P145" s="76" t="s">
        <v>119</v>
      </c>
      <c r="Q145" s="76" t="s">
        <v>120</v>
      </c>
    </row>
    <row r="146" spans="1:17" ht="15" thickBot="1">
      <c r="A146" s="688" t="s">
        <v>30</v>
      </c>
      <c r="B146" s="689"/>
      <c r="C146" s="689"/>
      <c r="D146" s="689"/>
      <c r="E146" s="689"/>
      <c r="F146" s="689"/>
      <c r="G146" s="689"/>
      <c r="H146" s="689"/>
      <c r="I146" s="689"/>
      <c r="J146" s="689"/>
      <c r="K146" s="689"/>
      <c r="L146" s="689"/>
      <c r="M146" s="689"/>
      <c r="N146" s="690"/>
      <c r="O146" s="134"/>
      <c r="P146" s="135">
        <v>0</v>
      </c>
      <c r="Q146" s="56"/>
    </row>
    <row r="147" spans="1:17" ht="18.600000000000001" thickBot="1">
      <c r="A147" s="149">
        <v>1</v>
      </c>
      <c r="B147" s="285"/>
      <c r="C147" s="311" t="s">
        <v>6</v>
      </c>
      <c r="D147" s="82" t="s">
        <v>79</v>
      </c>
      <c r="E147" s="321" t="s">
        <v>45</v>
      </c>
      <c r="F147" s="129">
        <v>300</v>
      </c>
      <c r="G147" s="110">
        <v>18</v>
      </c>
      <c r="H147" s="110">
        <v>1818</v>
      </c>
      <c r="I147" s="111">
        <v>11</v>
      </c>
      <c r="J147" s="84">
        <f>ROUND(M147+M147*R147,0)</f>
        <v>389</v>
      </c>
      <c r="K147" s="85">
        <f>ROUND(J147-(J147*S147),0)</f>
        <v>389</v>
      </c>
      <c r="L147" s="73">
        <f>M147*1.03</f>
        <v>400.67</v>
      </c>
      <c r="M147" s="85">
        <f>ROUND(370*1.05,0)</f>
        <v>389</v>
      </c>
      <c r="N147" s="136">
        <f>ROUND(M147/1.2,2)</f>
        <v>324.17</v>
      </c>
      <c r="O147" s="134"/>
      <c r="P147" s="135">
        <v>255.93</v>
      </c>
      <c r="Q147" s="37">
        <v>288</v>
      </c>
    </row>
    <row r="148" spans="1:17" ht="15" thickBot="1">
      <c r="A148" s="688" t="s">
        <v>29</v>
      </c>
      <c r="B148" s="689"/>
      <c r="C148" s="689"/>
      <c r="D148" s="689"/>
      <c r="E148" s="689"/>
      <c r="F148" s="689"/>
      <c r="G148" s="689"/>
      <c r="H148" s="689"/>
      <c r="I148" s="689"/>
      <c r="J148" s="689"/>
      <c r="K148" s="689"/>
      <c r="L148" s="689"/>
      <c r="M148" s="689"/>
      <c r="N148" s="690"/>
      <c r="O148" s="134"/>
      <c r="P148" s="135">
        <v>0</v>
      </c>
      <c r="Q148" s="57"/>
    </row>
    <row r="149" spans="1:17" ht="18.600000000000001" thickBot="1">
      <c r="A149" s="693">
        <v>2</v>
      </c>
      <c r="B149" s="431"/>
      <c r="C149" s="311" t="s">
        <v>6</v>
      </c>
      <c r="D149" s="82" t="s">
        <v>79</v>
      </c>
      <c r="E149" s="701" t="s">
        <v>46</v>
      </c>
      <c r="F149" s="701">
        <v>200</v>
      </c>
      <c r="G149" s="787">
        <v>48</v>
      </c>
      <c r="H149" s="785">
        <v>1759</v>
      </c>
      <c r="I149" s="750">
        <v>11</v>
      </c>
      <c r="J149" s="84">
        <f>ROUND(M149+M149*R149,0)</f>
        <v>168</v>
      </c>
      <c r="K149" s="85">
        <f>ROUND(J149-(J149*S149),0)</f>
        <v>168</v>
      </c>
      <c r="L149" s="73">
        <f>M149*1.03</f>
        <v>173.04</v>
      </c>
      <c r="M149" s="85">
        <f>ROUND(160*1.05,0)</f>
        <v>168</v>
      </c>
      <c r="N149" s="136">
        <f t="shared" ref="N149:N165" si="19">ROUND(M149/1.2,2)</f>
        <v>140</v>
      </c>
      <c r="O149" s="134"/>
      <c r="P149" s="135">
        <v>111.02</v>
      </c>
      <c r="Q149" s="58">
        <v>125</v>
      </c>
    </row>
    <row r="150" spans="1:17" ht="18">
      <c r="A150" s="792"/>
      <c r="B150" s="432"/>
      <c r="C150" s="205" t="s">
        <v>14</v>
      </c>
      <c r="D150" s="192" t="s">
        <v>79</v>
      </c>
      <c r="E150" s="789"/>
      <c r="F150" s="789"/>
      <c r="G150" s="793"/>
      <c r="H150" s="828"/>
      <c r="I150" s="798"/>
      <c r="J150" s="171">
        <f>M150*1.3</f>
        <v>265.2</v>
      </c>
      <c r="K150" s="172">
        <f>J150*0.95</f>
        <v>251.93999999999997</v>
      </c>
      <c r="L150" s="173">
        <f>M150*1.05</f>
        <v>214.20000000000002</v>
      </c>
      <c r="M150" s="172">
        <f>ROUND(194*1.05,0)</f>
        <v>204</v>
      </c>
      <c r="N150" s="174">
        <f>ROUND(M150/1.2,2)</f>
        <v>170</v>
      </c>
      <c r="O150" s="134"/>
      <c r="P150" s="135">
        <v>134.75</v>
      </c>
      <c r="Q150" s="60">
        <v>151</v>
      </c>
    </row>
    <row r="151" spans="1:17" ht="18">
      <c r="A151" s="754"/>
      <c r="B151" s="433"/>
      <c r="C151" s="203" t="s">
        <v>13</v>
      </c>
      <c r="D151" s="96"/>
      <c r="E151" s="702"/>
      <c r="F151" s="702"/>
      <c r="G151" s="788"/>
      <c r="H151" s="786"/>
      <c r="I151" s="751"/>
      <c r="J151" s="175">
        <f>M151*1.3</f>
        <v>265.2</v>
      </c>
      <c r="K151" s="3">
        <f>J151*0.95</f>
        <v>251.93999999999997</v>
      </c>
      <c r="L151" s="30">
        <f>M151*1.05</f>
        <v>214.20000000000002</v>
      </c>
      <c r="M151" s="3">
        <f>ROUND(194*1.05,0)</f>
        <v>204</v>
      </c>
      <c r="N151" s="176">
        <f t="shared" si="19"/>
        <v>170</v>
      </c>
      <c r="O151" s="134"/>
      <c r="P151" s="135">
        <v>134.75</v>
      </c>
      <c r="Q151" s="60">
        <v>151</v>
      </c>
    </row>
    <row r="152" spans="1:17" ht="18">
      <c r="A152" s="754"/>
      <c r="B152" s="433"/>
      <c r="C152" s="203" t="s">
        <v>12</v>
      </c>
      <c r="D152" s="98" t="s">
        <v>79</v>
      </c>
      <c r="E152" s="702"/>
      <c r="F152" s="702"/>
      <c r="G152" s="788"/>
      <c r="H152" s="786"/>
      <c r="I152" s="751"/>
      <c r="J152" s="175">
        <f t="shared" ref="J152:J165" si="20">M152*1.3</f>
        <v>265.2</v>
      </c>
      <c r="K152" s="3">
        <f t="shared" ref="K152:K165" si="21">J152*0.95</f>
        <v>251.93999999999997</v>
      </c>
      <c r="L152" s="30">
        <f t="shared" ref="L152:L165" si="22">M152*1.05</f>
        <v>214.20000000000002</v>
      </c>
      <c r="M152" s="3">
        <f t="shared" ref="M152:M158" si="23">ROUND(194*1.05,0)</f>
        <v>204</v>
      </c>
      <c r="N152" s="176">
        <f t="shared" si="19"/>
        <v>170</v>
      </c>
      <c r="O152" s="134"/>
      <c r="P152" s="135">
        <v>134.75</v>
      </c>
      <c r="Q152" s="60">
        <v>151</v>
      </c>
    </row>
    <row r="153" spans="1:17" ht="28.8">
      <c r="A153" s="754"/>
      <c r="B153" s="433"/>
      <c r="C153" s="203" t="s">
        <v>38</v>
      </c>
      <c r="D153" s="98" t="s">
        <v>79</v>
      </c>
      <c r="E153" s="702"/>
      <c r="F153" s="702"/>
      <c r="G153" s="788"/>
      <c r="H153" s="786"/>
      <c r="I153" s="751"/>
      <c r="J153" s="175">
        <f t="shared" si="20"/>
        <v>265.2</v>
      </c>
      <c r="K153" s="3">
        <f t="shared" si="21"/>
        <v>251.93999999999997</v>
      </c>
      <c r="L153" s="30">
        <f t="shared" si="22"/>
        <v>214.20000000000002</v>
      </c>
      <c r="M153" s="3">
        <f t="shared" si="23"/>
        <v>204</v>
      </c>
      <c r="N153" s="176">
        <f t="shared" si="19"/>
        <v>170</v>
      </c>
      <c r="O153" s="134"/>
      <c r="P153" s="135">
        <v>134.75</v>
      </c>
      <c r="Q153" s="60">
        <v>151</v>
      </c>
    </row>
    <row r="154" spans="1:17" ht="28.8">
      <c r="A154" s="754"/>
      <c r="B154" s="433"/>
      <c r="C154" s="203" t="s">
        <v>44</v>
      </c>
      <c r="D154" s="98" t="s">
        <v>79</v>
      </c>
      <c r="E154" s="702"/>
      <c r="F154" s="702"/>
      <c r="G154" s="788"/>
      <c r="H154" s="786"/>
      <c r="I154" s="751"/>
      <c r="J154" s="175">
        <f t="shared" si="20"/>
        <v>265.2</v>
      </c>
      <c r="K154" s="3">
        <f t="shared" si="21"/>
        <v>251.93999999999997</v>
      </c>
      <c r="L154" s="30">
        <f t="shared" si="22"/>
        <v>214.20000000000002</v>
      </c>
      <c r="M154" s="3">
        <f t="shared" si="23"/>
        <v>204</v>
      </c>
      <c r="N154" s="176">
        <f t="shared" si="19"/>
        <v>170</v>
      </c>
      <c r="O154" s="134"/>
      <c r="P154" s="135">
        <v>134.75</v>
      </c>
      <c r="Q154" s="60">
        <v>151</v>
      </c>
    </row>
    <row r="155" spans="1:17" ht="43.2">
      <c r="A155" s="754"/>
      <c r="B155" s="433"/>
      <c r="C155" s="205" t="s">
        <v>86</v>
      </c>
      <c r="D155" s="98" t="s">
        <v>79</v>
      </c>
      <c r="E155" s="702"/>
      <c r="F155" s="702"/>
      <c r="G155" s="788"/>
      <c r="H155" s="786"/>
      <c r="I155" s="751"/>
      <c r="J155" s="175">
        <f t="shared" si="20"/>
        <v>265.2</v>
      </c>
      <c r="K155" s="3">
        <f t="shared" si="21"/>
        <v>251.93999999999997</v>
      </c>
      <c r="L155" s="30">
        <f t="shared" si="22"/>
        <v>214.20000000000002</v>
      </c>
      <c r="M155" s="3">
        <f t="shared" si="23"/>
        <v>204</v>
      </c>
      <c r="N155" s="176">
        <f t="shared" si="19"/>
        <v>170</v>
      </c>
      <c r="O155" s="134"/>
      <c r="P155" s="135">
        <v>134.75</v>
      </c>
      <c r="Q155" s="60">
        <v>151</v>
      </c>
    </row>
    <row r="156" spans="1:17" ht="28.8">
      <c r="A156" s="754"/>
      <c r="B156" s="433"/>
      <c r="C156" s="203" t="s">
        <v>107</v>
      </c>
      <c r="D156" s="98" t="s">
        <v>79</v>
      </c>
      <c r="E156" s="702"/>
      <c r="F156" s="702"/>
      <c r="G156" s="788"/>
      <c r="H156" s="786"/>
      <c r="I156" s="751"/>
      <c r="J156" s="175">
        <f t="shared" si="20"/>
        <v>265.2</v>
      </c>
      <c r="K156" s="3">
        <f t="shared" si="21"/>
        <v>251.93999999999997</v>
      </c>
      <c r="L156" s="30">
        <f t="shared" si="22"/>
        <v>214.20000000000002</v>
      </c>
      <c r="M156" s="3">
        <f t="shared" si="23"/>
        <v>204</v>
      </c>
      <c r="N156" s="176">
        <f t="shared" si="19"/>
        <v>170</v>
      </c>
      <c r="O156" s="134"/>
      <c r="P156" s="135">
        <v>134.75</v>
      </c>
      <c r="Q156" s="60">
        <v>151</v>
      </c>
    </row>
    <row r="157" spans="1:17" ht="43.2">
      <c r="A157" s="754"/>
      <c r="B157" s="433"/>
      <c r="C157" s="203" t="s">
        <v>108</v>
      </c>
      <c r="D157" s="98" t="s">
        <v>79</v>
      </c>
      <c r="E157" s="702"/>
      <c r="F157" s="702"/>
      <c r="G157" s="788"/>
      <c r="H157" s="786"/>
      <c r="I157" s="751"/>
      <c r="J157" s="175">
        <f t="shared" si="20"/>
        <v>265.2</v>
      </c>
      <c r="K157" s="3">
        <f t="shared" si="21"/>
        <v>251.93999999999997</v>
      </c>
      <c r="L157" s="30">
        <f t="shared" si="22"/>
        <v>214.20000000000002</v>
      </c>
      <c r="M157" s="3">
        <f t="shared" si="23"/>
        <v>204</v>
      </c>
      <c r="N157" s="176">
        <f t="shared" si="19"/>
        <v>170</v>
      </c>
      <c r="O157" s="134"/>
      <c r="P157" s="135">
        <v>134.75</v>
      </c>
      <c r="Q157" s="60">
        <v>151</v>
      </c>
    </row>
    <row r="158" spans="1:17" ht="29.4" thickBot="1">
      <c r="A158" s="694"/>
      <c r="B158" s="435"/>
      <c r="C158" s="333" t="s">
        <v>92</v>
      </c>
      <c r="D158" s="105" t="s">
        <v>79</v>
      </c>
      <c r="E158" s="703"/>
      <c r="F158" s="703"/>
      <c r="G158" s="794"/>
      <c r="H158" s="829"/>
      <c r="I158" s="799"/>
      <c r="J158" s="177">
        <f t="shared" si="20"/>
        <v>265.2</v>
      </c>
      <c r="K158" s="4">
        <f t="shared" si="21"/>
        <v>251.93999999999997</v>
      </c>
      <c r="L158" s="178">
        <f t="shared" si="22"/>
        <v>214.20000000000002</v>
      </c>
      <c r="M158" s="4">
        <f t="shared" si="23"/>
        <v>204</v>
      </c>
      <c r="N158" s="179">
        <f t="shared" si="19"/>
        <v>170</v>
      </c>
      <c r="O158" s="134"/>
      <c r="P158" s="135">
        <v>134.75</v>
      </c>
      <c r="Q158" s="61">
        <v>151</v>
      </c>
    </row>
    <row r="159" spans="1:17" ht="15" thickBot="1">
      <c r="A159" s="688" t="s">
        <v>117</v>
      </c>
      <c r="B159" s="790"/>
      <c r="C159" s="790"/>
      <c r="D159" s="790"/>
      <c r="E159" s="790"/>
      <c r="F159" s="790"/>
      <c r="G159" s="790"/>
      <c r="H159" s="790"/>
      <c r="I159" s="790"/>
      <c r="J159" s="790"/>
      <c r="K159" s="790"/>
      <c r="L159" s="790"/>
      <c r="M159" s="790"/>
      <c r="N159" s="791"/>
      <c r="O159" s="134"/>
      <c r="P159" s="135"/>
      <c r="Q159" s="128"/>
    </row>
    <row r="160" spans="1:17" ht="18.600000000000001" thickBot="1">
      <c r="A160" s="698">
        <v>3</v>
      </c>
      <c r="B160" s="431"/>
      <c r="C160" s="311" t="s">
        <v>6</v>
      </c>
      <c r="D160" s="82" t="s">
        <v>79</v>
      </c>
      <c r="E160" s="804" t="s">
        <v>118</v>
      </c>
      <c r="F160" s="707">
        <v>200</v>
      </c>
      <c r="G160" s="795">
        <v>52</v>
      </c>
      <c r="H160" s="710">
        <v>1821</v>
      </c>
      <c r="I160" s="713">
        <v>11</v>
      </c>
      <c r="J160" s="154">
        <f t="shared" si="20"/>
        <v>127.4</v>
      </c>
      <c r="K160" s="85">
        <f t="shared" si="21"/>
        <v>121.03</v>
      </c>
      <c r="L160" s="146">
        <f t="shared" si="22"/>
        <v>102.9</v>
      </c>
      <c r="M160" s="227">
        <f>ROUND(93*1.05,0)</f>
        <v>98</v>
      </c>
      <c r="N160" s="136">
        <f t="shared" si="19"/>
        <v>81.67</v>
      </c>
      <c r="O160" s="155">
        <v>75.83</v>
      </c>
      <c r="P160" s="135"/>
      <c r="Q160" s="128"/>
    </row>
    <row r="161" spans="1:17" ht="18.600000000000001" thickBot="1">
      <c r="A161" s="699"/>
      <c r="B161" s="432"/>
      <c r="C161" s="205" t="s">
        <v>12</v>
      </c>
      <c r="D161" s="192"/>
      <c r="E161" s="805"/>
      <c r="F161" s="708"/>
      <c r="G161" s="796"/>
      <c r="H161" s="711"/>
      <c r="I161" s="677"/>
      <c r="J161" s="171">
        <f>M161*1.3</f>
        <v>152.1</v>
      </c>
      <c r="K161" s="172">
        <f>J161*0.95</f>
        <v>144.49499999999998</v>
      </c>
      <c r="L161" s="173">
        <f>M161*1.05</f>
        <v>122.85000000000001</v>
      </c>
      <c r="M161" s="172">
        <f>ROUND(111*1.05,0)</f>
        <v>117</v>
      </c>
      <c r="N161" s="214">
        <f>ROUND(M161/1.2,2)</f>
        <v>97.5</v>
      </c>
      <c r="O161" s="155">
        <v>90.83</v>
      </c>
      <c r="P161" s="135"/>
      <c r="Q161" s="128"/>
    </row>
    <row r="162" spans="1:17" ht="29.4" thickBot="1">
      <c r="A162" s="699"/>
      <c r="B162" s="432"/>
      <c r="C162" s="205" t="s">
        <v>44</v>
      </c>
      <c r="D162" s="192"/>
      <c r="E162" s="805"/>
      <c r="F162" s="708"/>
      <c r="G162" s="796"/>
      <c r="H162" s="711"/>
      <c r="I162" s="677"/>
      <c r="J162" s="175">
        <f>M162*1.3</f>
        <v>152.1</v>
      </c>
      <c r="K162" s="3">
        <f>J162*0.95</f>
        <v>144.49499999999998</v>
      </c>
      <c r="L162" s="30">
        <f>M162*1.05</f>
        <v>122.85000000000001</v>
      </c>
      <c r="M162" s="3">
        <f>ROUND(111*1.05,0)</f>
        <v>117</v>
      </c>
      <c r="N162" s="218">
        <f>ROUND(M162/1.2,2)</f>
        <v>97.5</v>
      </c>
      <c r="O162" s="155">
        <v>90.83</v>
      </c>
      <c r="P162" s="135"/>
      <c r="Q162" s="128"/>
    </row>
    <row r="163" spans="1:17" ht="29.4" thickBot="1">
      <c r="A163" s="699"/>
      <c r="B163" s="433"/>
      <c r="C163" s="203" t="s">
        <v>38</v>
      </c>
      <c r="D163" s="98"/>
      <c r="E163" s="805"/>
      <c r="F163" s="708"/>
      <c r="G163" s="796"/>
      <c r="H163" s="711"/>
      <c r="I163" s="677"/>
      <c r="J163" s="175">
        <f t="shared" si="20"/>
        <v>152.1</v>
      </c>
      <c r="K163" s="3">
        <f t="shared" si="21"/>
        <v>144.49499999999998</v>
      </c>
      <c r="L163" s="30">
        <f t="shared" si="22"/>
        <v>122.85000000000001</v>
      </c>
      <c r="M163" s="3">
        <f>ROUND(111*1.05,0)</f>
        <v>117</v>
      </c>
      <c r="N163" s="218">
        <f t="shared" si="19"/>
        <v>97.5</v>
      </c>
      <c r="O163" s="155">
        <v>90.83</v>
      </c>
      <c r="P163" s="135"/>
      <c r="Q163" s="128"/>
    </row>
    <row r="164" spans="1:17" ht="29.4" thickBot="1">
      <c r="A164" s="699"/>
      <c r="B164" s="434"/>
      <c r="C164" s="425" t="s">
        <v>93</v>
      </c>
      <c r="D164" s="16"/>
      <c r="E164" s="805"/>
      <c r="F164" s="708"/>
      <c r="G164" s="796"/>
      <c r="H164" s="711"/>
      <c r="I164" s="677"/>
      <c r="J164" s="175">
        <f>M164*1.3</f>
        <v>152.1</v>
      </c>
      <c r="K164" s="3">
        <f>J164*0.95</f>
        <v>144.49499999999998</v>
      </c>
      <c r="L164" s="30">
        <f>M164*1.05</f>
        <v>122.85000000000001</v>
      </c>
      <c r="M164" s="3">
        <f>ROUND(111*1.05,0)</f>
        <v>117</v>
      </c>
      <c r="N164" s="218">
        <f>ROUND(M164/1.2,2)</f>
        <v>97.5</v>
      </c>
      <c r="O164" s="155">
        <v>90.83</v>
      </c>
      <c r="P164" s="135"/>
      <c r="Q164" s="128"/>
    </row>
    <row r="165" spans="1:17" ht="43.8" thickBot="1">
      <c r="A165" s="700"/>
      <c r="B165" s="435"/>
      <c r="C165" s="333" t="s">
        <v>86</v>
      </c>
      <c r="D165" s="105"/>
      <c r="E165" s="806"/>
      <c r="F165" s="709"/>
      <c r="G165" s="797"/>
      <c r="H165" s="712"/>
      <c r="I165" s="678"/>
      <c r="J165" s="4">
        <f t="shared" si="20"/>
        <v>152.1</v>
      </c>
      <c r="K165" s="4">
        <f t="shared" si="21"/>
        <v>144.49499999999998</v>
      </c>
      <c r="L165" s="4">
        <f t="shared" si="22"/>
        <v>122.85000000000001</v>
      </c>
      <c r="M165" s="4">
        <f>ROUND(111*1.05,0)</f>
        <v>117</v>
      </c>
      <c r="N165" s="222">
        <f t="shared" si="19"/>
        <v>97.5</v>
      </c>
      <c r="O165" s="155">
        <v>90.83</v>
      </c>
      <c r="P165" s="135"/>
      <c r="Q165" s="128"/>
    </row>
    <row r="166" spans="1:17" ht="15" thickBot="1">
      <c r="A166" s="721" t="s">
        <v>31</v>
      </c>
      <c r="B166" s="722"/>
      <c r="C166" s="722"/>
      <c r="D166" s="722"/>
      <c r="E166" s="722"/>
      <c r="F166" s="722"/>
      <c r="G166" s="722"/>
      <c r="H166" s="722"/>
      <c r="I166" s="722"/>
      <c r="J166" s="722"/>
      <c r="K166" s="722"/>
      <c r="L166" s="722"/>
      <c r="M166" s="722"/>
      <c r="N166" s="723"/>
      <c r="O166" s="134"/>
      <c r="P166" s="135">
        <v>0</v>
      </c>
      <c r="Q166" s="57"/>
    </row>
    <row r="167" spans="1:17" ht="18.600000000000001" thickBot="1">
      <c r="A167" s="830">
        <v>4</v>
      </c>
      <c r="B167" s="427"/>
      <c r="C167" s="127" t="s">
        <v>6</v>
      </c>
      <c r="D167" s="36" t="s">
        <v>79</v>
      </c>
      <c r="E167" s="365" t="s">
        <v>64</v>
      </c>
      <c r="F167" s="807">
        <v>60</v>
      </c>
      <c r="G167" s="317">
        <v>60</v>
      </c>
      <c r="H167" s="314">
        <v>1498</v>
      </c>
      <c r="I167" s="348">
        <v>13</v>
      </c>
      <c r="J167" s="84">
        <f>ROUND(M167+M167*R167,0)</f>
        <v>322</v>
      </c>
      <c r="K167" s="85">
        <f>J167*0.97</f>
        <v>312.33999999999997</v>
      </c>
      <c r="L167" s="73">
        <f>M167*1.03</f>
        <v>331.66</v>
      </c>
      <c r="M167" s="85">
        <f>ROUND(307*1.05,0)</f>
        <v>322</v>
      </c>
      <c r="N167" s="86">
        <f>ROUND(M167/1.2,2)</f>
        <v>268.33</v>
      </c>
      <c r="O167" s="134"/>
      <c r="P167" s="135">
        <v>211.86</v>
      </c>
      <c r="Q167" s="63">
        <v>238</v>
      </c>
    </row>
    <row r="168" spans="1:17" ht="18">
      <c r="A168" s="699"/>
      <c r="B168" s="428"/>
      <c r="C168" s="349" t="s">
        <v>44</v>
      </c>
      <c r="D168" s="95"/>
      <c r="E168" s="366" t="s">
        <v>64</v>
      </c>
      <c r="F168" s="808"/>
      <c r="G168" s="133">
        <v>60</v>
      </c>
      <c r="H168" s="101">
        <v>1498</v>
      </c>
      <c r="I168" s="102">
        <v>13</v>
      </c>
      <c r="J168" s="171">
        <f>ROUND(M168+M168*R168,0)</f>
        <v>431</v>
      </c>
      <c r="K168" s="172">
        <f>J168*0.95</f>
        <v>409.45</v>
      </c>
      <c r="L168" s="173">
        <f>M168*1.04</f>
        <v>448.24</v>
      </c>
      <c r="M168" s="172">
        <f>ROUND(410*1.05,0)</f>
        <v>431</v>
      </c>
      <c r="N168" s="174">
        <f>ROUND(M168/1.2,2)</f>
        <v>359.17</v>
      </c>
      <c r="O168" s="134"/>
      <c r="P168" s="135">
        <v>284.75</v>
      </c>
      <c r="Q168" s="63">
        <v>320</v>
      </c>
    </row>
    <row r="169" spans="1:17" ht="18">
      <c r="A169" s="699"/>
      <c r="B169" s="429"/>
      <c r="C169" s="350" t="s">
        <v>38</v>
      </c>
      <c r="D169" s="96"/>
      <c r="E169" s="367" t="s">
        <v>64</v>
      </c>
      <c r="F169" s="808"/>
      <c r="G169" s="131">
        <v>60</v>
      </c>
      <c r="H169" s="103">
        <v>1498</v>
      </c>
      <c r="I169" s="104">
        <v>13</v>
      </c>
      <c r="J169" s="175">
        <f>ROUND(M169+M169*R169,0)</f>
        <v>431</v>
      </c>
      <c r="K169" s="3">
        <f>J169*0.95</f>
        <v>409.45</v>
      </c>
      <c r="L169" s="30">
        <f>M169*1.04</f>
        <v>448.24</v>
      </c>
      <c r="M169" s="3">
        <f>ROUND(410*1.05,0)</f>
        <v>431</v>
      </c>
      <c r="N169" s="176">
        <f>ROUND(M169/1.2,2)</f>
        <v>359.17</v>
      </c>
      <c r="O169" s="134"/>
      <c r="P169" s="135">
        <v>284.75</v>
      </c>
      <c r="Q169" s="63">
        <v>320</v>
      </c>
    </row>
    <row r="170" spans="1:17" ht="18.600000000000001" thickBot="1">
      <c r="A170" s="700"/>
      <c r="B170" s="430"/>
      <c r="C170" s="351" t="s">
        <v>12</v>
      </c>
      <c r="D170" s="153"/>
      <c r="E170" s="368" t="s">
        <v>64</v>
      </c>
      <c r="F170" s="809"/>
      <c r="G170" s="132">
        <v>60</v>
      </c>
      <c r="H170" s="106">
        <v>1498</v>
      </c>
      <c r="I170" s="107">
        <v>13</v>
      </c>
      <c r="J170" s="177">
        <f>ROUND(M170+M170*R170,0)</f>
        <v>431</v>
      </c>
      <c r="K170" s="4">
        <f>J170*0.95</f>
        <v>409.45</v>
      </c>
      <c r="L170" s="178">
        <f>M170*1.04</f>
        <v>448.24</v>
      </c>
      <c r="M170" s="4">
        <f>ROUND(410*1.05,0)</f>
        <v>431</v>
      </c>
      <c r="N170" s="179">
        <f>ROUND(M170/1.2,2)</f>
        <v>359.17</v>
      </c>
      <c r="O170" s="134"/>
      <c r="P170" s="135">
        <v>284.75</v>
      </c>
      <c r="Q170" s="64">
        <v>320</v>
      </c>
    </row>
    <row r="171" spans="1:17" ht="18.600000000000001" thickBot="1">
      <c r="A171" s="65"/>
      <c r="B171" s="74"/>
      <c r="C171" s="74"/>
      <c r="D171" s="66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</row>
    <row r="172" spans="1:17" ht="21.6" thickBot="1">
      <c r="A172" s="825" t="s">
        <v>140</v>
      </c>
      <c r="B172" s="826"/>
      <c r="C172" s="826"/>
      <c r="D172" s="826"/>
      <c r="E172" s="826"/>
      <c r="F172" s="826"/>
      <c r="G172" s="826"/>
      <c r="H172" s="826"/>
      <c r="I172" s="826"/>
      <c r="J172" s="826"/>
      <c r="K172" s="826"/>
      <c r="L172" s="826"/>
      <c r="M172" s="826"/>
      <c r="N172" s="826"/>
      <c r="O172" s="826"/>
      <c r="P172" s="826"/>
      <c r="Q172" s="827"/>
    </row>
    <row r="173" spans="1:17" ht="117.6" thickBot="1">
      <c r="A173" s="75" t="s">
        <v>0</v>
      </c>
      <c r="B173" s="679" t="s">
        <v>5</v>
      </c>
      <c r="C173" s="680"/>
      <c r="D173" s="681"/>
      <c r="E173" s="76" t="s">
        <v>7</v>
      </c>
      <c r="F173" s="76" t="s">
        <v>16</v>
      </c>
      <c r="G173" s="76" t="s">
        <v>138</v>
      </c>
      <c r="H173" s="77" t="s">
        <v>8</v>
      </c>
      <c r="I173" s="76" t="s">
        <v>25</v>
      </c>
      <c r="J173" s="78" t="s">
        <v>33</v>
      </c>
      <c r="K173" s="76" t="s">
        <v>56</v>
      </c>
      <c r="L173" s="77" t="s">
        <v>82</v>
      </c>
      <c r="M173" s="76" t="s">
        <v>53</v>
      </c>
      <c r="N173" s="79" t="s">
        <v>54</v>
      </c>
      <c r="O173" s="372">
        <v>1.05</v>
      </c>
      <c r="P173" s="76" t="s">
        <v>119</v>
      </c>
      <c r="Q173" s="76" t="s">
        <v>120</v>
      </c>
    </row>
    <row r="174" spans="1:17" ht="15" thickBot="1">
      <c r="A174" s="688" t="s">
        <v>34</v>
      </c>
      <c r="B174" s="689"/>
      <c r="C174" s="689"/>
      <c r="D174" s="689"/>
      <c r="E174" s="689"/>
      <c r="F174" s="689"/>
      <c r="G174" s="689"/>
      <c r="H174" s="689"/>
      <c r="I174" s="689"/>
      <c r="J174" s="689"/>
      <c r="K174" s="689"/>
      <c r="L174" s="689"/>
      <c r="M174" s="689"/>
      <c r="N174" s="690"/>
      <c r="O174" s="373"/>
      <c r="P174" s="374">
        <v>0</v>
      </c>
      <c r="Q174" s="375"/>
    </row>
    <row r="175" spans="1:17" ht="18">
      <c r="A175" s="698">
        <v>1</v>
      </c>
      <c r="B175" s="319"/>
      <c r="C175" s="242" t="s">
        <v>15</v>
      </c>
      <c r="D175" s="108" t="s">
        <v>113</v>
      </c>
      <c r="E175" s="244" t="s">
        <v>40</v>
      </c>
      <c r="F175" s="360">
        <v>60</v>
      </c>
      <c r="G175" s="255">
        <v>12.24</v>
      </c>
      <c r="H175" s="236">
        <v>1650</v>
      </c>
      <c r="I175" s="112">
        <v>12</v>
      </c>
      <c r="J175" s="171">
        <f>ROUND(M175+M175*R175,0)</f>
        <v>1024</v>
      </c>
      <c r="K175" s="172">
        <f>ROUND(J175-(J175*S175),0)</f>
        <v>1024</v>
      </c>
      <c r="L175" s="173">
        <f>M175*1.04</f>
        <v>1064.96</v>
      </c>
      <c r="M175" s="172">
        <f>ROUND(975*1.05,0)</f>
        <v>1024</v>
      </c>
      <c r="N175" s="174">
        <f>ROUND(M175/1.2,2)</f>
        <v>853.33</v>
      </c>
      <c r="O175" s="373"/>
      <c r="P175" s="374"/>
      <c r="Q175" s="261"/>
    </row>
    <row r="176" spans="1:17" ht="18.600000000000001" thickBot="1">
      <c r="A176" s="700"/>
      <c r="B176" s="320"/>
      <c r="C176" s="243" t="s">
        <v>38</v>
      </c>
      <c r="D176" s="99" t="s">
        <v>113</v>
      </c>
      <c r="E176" s="245" t="s">
        <v>40</v>
      </c>
      <c r="F176" s="361">
        <v>60</v>
      </c>
      <c r="G176" s="256">
        <v>12.24</v>
      </c>
      <c r="H176" s="238">
        <v>1650</v>
      </c>
      <c r="I176" s="148">
        <v>12</v>
      </c>
      <c r="J176" s="177">
        <f>ROUND(M176+M176*R176,0)</f>
        <v>1024</v>
      </c>
      <c r="K176" s="4">
        <f>ROUND(J176-(J176*S176),0)</f>
        <v>1024</v>
      </c>
      <c r="L176" s="178">
        <f>M176*1.04</f>
        <v>1064.96</v>
      </c>
      <c r="M176" s="4">
        <f>ROUND(975*1.05,0)</f>
        <v>1024</v>
      </c>
      <c r="N176" s="179">
        <f>ROUND(M176/1.2,2)</f>
        <v>853.33</v>
      </c>
      <c r="O176" s="373"/>
      <c r="P176" s="374"/>
      <c r="Q176" s="261"/>
    </row>
    <row r="177" spans="1:17" ht="15" thickBot="1">
      <c r="A177" s="688" t="s">
        <v>10</v>
      </c>
      <c r="B177" s="689"/>
      <c r="C177" s="689"/>
      <c r="D177" s="689"/>
      <c r="E177" s="689"/>
      <c r="F177" s="689"/>
      <c r="G177" s="689"/>
      <c r="H177" s="689"/>
      <c r="I177" s="689"/>
      <c r="J177" s="689"/>
      <c r="K177" s="689"/>
      <c r="L177" s="689"/>
      <c r="M177" s="689"/>
      <c r="N177" s="690"/>
      <c r="O177" s="373"/>
      <c r="P177" s="374">
        <v>0</v>
      </c>
      <c r="Q177" s="376"/>
    </row>
    <row r="178" spans="1:17" ht="72.599999999999994" thickBot="1">
      <c r="A178" s="149">
        <v>2</v>
      </c>
      <c r="B178" s="80"/>
      <c r="C178" s="113" t="s">
        <v>6</v>
      </c>
      <c r="D178" s="114" t="s">
        <v>113</v>
      </c>
      <c r="E178" s="115" t="s">
        <v>129</v>
      </c>
      <c r="F178" s="115">
        <v>80</v>
      </c>
      <c r="G178" s="129">
        <v>11.52</v>
      </c>
      <c r="H178" s="110">
        <v>2159</v>
      </c>
      <c r="I178" s="111">
        <v>9</v>
      </c>
      <c r="J178" s="84">
        <f>ROUND(M178+M178*R178,0)</f>
        <v>1078</v>
      </c>
      <c r="K178" s="85">
        <f>ROUND(J178-(J178*S178),0)</f>
        <v>1078</v>
      </c>
      <c r="L178" s="73">
        <f>M178*1.03</f>
        <v>1110.3399999999999</v>
      </c>
      <c r="M178" s="85">
        <f>ROUND(1027*1.05,0)</f>
        <v>1078</v>
      </c>
      <c r="N178" s="86">
        <f>ROUND(M178/1.2,2)</f>
        <v>898.33</v>
      </c>
      <c r="O178" s="373"/>
      <c r="P178" s="374">
        <v>711.86</v>
      </c>
      <c r="Q178" s="48">
        <v>800</v>
      </c>
    </row>
    <row r="179" spans="1:17" ht="15" thickBot="1">
      <c r="A179" s="688" t="s">
        <v>2</v>
      </c>
      <c r="B179" s="689"/>
      <c r="C179" s="689"/>
      <c r="D179" s="689"/>
      <c r="E179" s="689"/>
      <c r="F179" s="689"/>
      <c r="G179" s="689"/>
      <c r="H179" s="689"/>
      <c r="I179" s="689"/>
      <c r="J179" s="689"/>
      <c r="K179" s="689"/>
      <c r="L179" s="689"/>
      <c r="M179" s="689"/>
      <c r="N179" s="690"/>
      <c r="O179" s="373"/>
      <c r="P179" s="374">
        <v>0</v>
      </c>
      <c r="Q179" s="376"/>
    </row>
    <row r="180" spans="1:17" ht="18">
      <c r="A180" s="769">
        <v>3</v>
      </c>
      <c r="B180" s="741"/>
      <c r="C180" s="755" t="s">
        <v>6</v>
      </c>
      <c r="D180" s="108" t="s">
        <v>113</v>
      </c>
      <c r="E180" s="800" t="s">
        <v>17</v>
      </c>
      <c r="F180" s="319">
        <v>60</v>
      </c>
      <c r="G180" s="165">
        <v>12</v>
      </c>
      <c r="H180" s="116">
        <v>1654</v>
      </c>
      <c r="I180" s="163">
        <v>12</v>
      </c>
      <c r="J180" s="171">
        <f t="shared" ref="J180:J191" si="24">ROUND(M180+M180*R180,0)</f>
        <v>969</v>
      </c>
      <c r="K180" s="172">
        <f t="shared" ref="K180:K191" si="25">ROUND(J180-(J180*S180),0)</f>
        <v>969</v>
      </c>
      <c r="L180" s="173">
        <f>M180*1.03</f>
        <v>998.07</v>
      </c>
      <c r="M180" s="172">
        <f>ROUND(923*1.05,0)</f>
        <v>969</v>
      </c>
      <c r="N180" s="214">
        <f t="shared" ref="N180:N191" si="26">ROUND(M180/1.2,2)</f>
        <v>807.5</v>
      </c>
      <c r="O180" s="299"/>
      <c r="P180" s="300">
        <v>640.67999999999995</v>
      </c>
      <c r="Q180" s="18">
        <v>720</v>
      </c>
    </row>
    <row r="181" spans="1:17" ht="18">
      <c r="A181" s="770"/>
      <c r="B181" s="810"/>
      <c r="C181" s="756"/>
      <c r="D181" s="97" t="s">
        <v>113</v>
      </c>
      <c r="E181" s="801"/>
      <c r="F181" s="385">
        <v>70</v>
      </c>
      <c r="G181" s="166">
        <v>11</v>
      </c>
      <c r="H181" s="118">
        <v>1773</v>
      </c>
      <c r="I181" s="164">
        <v>11</v>
      </c>
      <c r="J181" s="175">
        <f t="shared" si="24"/>
        <v>1024</v>
      </c>
      <c r="K181" s="3">
        <f t="shared" si="25"/>
        <v>1024</v>
      </c>
      <c r="L181" s="30">
        <f>M181*1.03</f>
        <v>1054.72</v>
      </c>
      <c r="M181" s="3">
        <f>ROUND(975*1.05,0)</f>
        <v>1024</v>
      </c>
      <c r="N181" s="176">
        <f t="shared" si="26"/>
        <v>853.33</v>
      </c>
      <c r="O181" s="301"/>
      <c r="P181" s="302">
        <v>676.27</v>
      </c>
      <c r="Q181" s="41">
        <v>760</v>
      </c>
    </row>
    <row r="182" spans="1:17" ht="18.600000000000001" thickBot="1">
      <c r="A182" s="770"/>
      <c r="B182" s="703"/>
      <c r="C182" s="757"/>
      <c r="D182" s="355" t="s">
        <v>113</v>
      </c>
      <c r="E182" s="801"/>
      <c r="F182" s="320">
        <v>80</v>
      </c>
      <c r="G182" s="384">
        <v>10</v>
      </c>
      <c r="H182" s="238">
        <v>1842</v>
      </c>
      <c r="I182" s="124">
        <v>10</v>
      </c>
      <c r="J182" s="177">
        <f t="shared" si="24"/>
        <v>1146</v>
      </c>
      <c r="K182" s="4">
        <f t="shared" si="25"/>
        <v>1146</v>
      </c>
      <c r="L182" s="178">
        <f>M182*1.03</f>
        <v>1180.3800000000001</v>
      </c>
      <c r="M182" s="4">
        <f>ROUND(1091*1.05,0)</f>
        <v>1146</v>
      </c>
      <c r="N182" s="179">
        <f t="shared" si="26"/>
        <v>955</v>
      </c>
      <c r="O182" s="303"/>
      <c r="P182" s="304">
        <v>756.78</v>
      </c>
      <c r="Q182" s="49">
        <v>850</v>
      </c>
    </row>
    <row r="183" spans="1:17" ht="18">
      <c r="A183" s="770"/>
      <c r="B183" s="701"/>
      <c r="C183" s="817" t="s">
        <v>12</v>
      </c>
      <c r="D183" s="108" t="s">
        <v>113</v>
      </c>
      <c r="E183" s="801"/>
      <c r="F183" s="319">
        <v>60</v>
      </c>
      <c r="G183" s="165">
        <v>12</v>
      </c>
      <c r="H183" s="116">
        <v>1654</v>
      </c>
      <c r="I183" s="163">
        <v>12</v>
      </c>
      <c r="J183" s="305">
        <f t="shared" si="24"/>
        <v>1184</v>
      </c>
      <c r="K183" s="306">
        <f t="shared" si="25"/>
        <v>1184</v>
      </c>
      <c r="L183" s="173">
        <f>M183*1.04</f>
        <v>1231.3600000000001</v>
      </c>
      <c r="M183" s="172">
        <f>ROUND(1128*1.05,0)</f>
        <v>1184</v>
      </c>
      <c r="N183" s="307">
        <f t="shared" si="26"/>
        <v>986.67</v>
      </c>
      <c r="O183" s="299"/>
      <c r="P183" s="300">
        <v>783.05</v>
      </c>
      <c r="Q183" s="18">
        <v>880</v>
      </c>
    </row>
    <row r="184" spans="1:17" ht="18">
      <c r="A184" s="770"/>
      <c r="B184" s="702"/>
      <c r="C184" s="803"/>
      <c r="D184" s="97" t="s">
        <v>113</v>
      </c>
      <c r="E184" s="801"/>
      <c r="F184" s="385">
        <v>70</v>
      </c>
      <c r="G184" s="166">
        <v>11</v>
      </c>
      <c r="H184" s="118">
        <v>1773</v>
      </c>
      <c r="I184" s="164">
        <v>11</v>
      </c>
      <c r="J184" s="175">
        <f t="shared" si="24"/>
        <v>1212</v>
      </c>
      <c r="K184" s="3">
        <f t="shared" si="25"/>
        <v>1212</v>
      </c>
      <c r="L184" s="30">
        <f t="shared" ref="L184:L191" si="27">M184*1.04</f>
        <v>1260.48</v>
      </c>
      <c r="M184" s="3">
        <f>ROUND(1154*1.05,0)</f>
        <v>1212</v>
      </c>
      <c r="N184" s="176">
        <f t="shared" si="26"/>
        <v>1010</v>
      </c>
      <c r="O184" s="301"/>
      <c r="P184" s="302">
        <v>800.85</v>
      </c>
      <c r="Q184" s="41">
        <v>900</v>
      </c>
    </row>
    <row r="185" spans="1:17" ht="18.600000000000001" thickBot="1">
      <c r="A185" s="770"/>
      <c r="B185" s="703"/>
      <c r="C185" s="818"/>
      <c r="D185" s="99" t="s">
        <v>113</v>
      </c>
      <c r="E185" s="801"/>
      <c r="F185" s="320">
        <v>80</v>
      </c>
      <c r="G185" s="384">
        <v>10</v>
      </c>
      <c r="H185" s="238">
        <v>1842</v>
      </c>
      <c r="I185" s="124">
        <v>10</v>
      </c>
      <c r="J185" s="177">
        <f t="shared" si="24"/>
        <v>1238</v>
      </c>
      <c r="K185" s="4">
        <f t="shared" si="25"/>
        <v>1238</v>
      </c>
      <c r="L185" s="178">
        <f t="shared" si="27"/>
        <v>1287.52</v>
      </c>
      <c r="M185" s="4">
        <f>ROUND(1179*1.05,0)</f>
        <v>1238</v>
      </c>
      <c r="N185" s="179">
        <f t="shared" si="26"/>
        <v>1031.67</v>
      </c>
      <c r="O185" s="303"/>
      <c r="P185" s="304">
        <v>818.64</v>
      </c>
      <c r="Q185" s="49">
        <v>920</v>
      </c>
    </row>
    <row r="186" spans="1:17" ht="18">
      <c r="A186" s="770"/>
      <c r="B186" s="701"/>
      <c r="C186" s="771" t="s">
        <v>13</v>
      </c>
      <c r="D186" s="108" t="s">
        <v>113</v>
      </c>
      <c r="E186" s="801"/>
      <c r="F186" s="319">
        <v>60</v>
      </c>
      <c r="G186" s="165">
        <v>12</v>
      </c>
      <c r="H186" s="116">
        <v>1654</v>
      </c>
      <c r="I186" s="163">
        <v>12</v>
      </c>
      <c r="J186" s="305">
        <f t="shared" si="24"/>
        <v>1184</v>
      </c>
      <c r="K186" s="306">
        <f t="shared" si="25"/>
        <v>1184</v>
      </c>
      <c r="L186" s="173">
        <f t="shared" si="27"/>
        <v>1231.3600000000001</v>
      </c>
      <c r="M186" s="172">
        <f>ROUND(1128*1.05,0)</f>
        <v>1184</v>
      </c>
      <c r="N186" s="307">
        <f t="shared" si="26"/>
        <v>986.67</v>
      </c>
      <c r="O186" s="299"/>
      <c r="P186" s="300">
        <v>783.05</v>
      </c>
      <c r="Q186" s="18">
        <v>880</v>
      </c>
    </row>
    <row r="187" spans="1:17" ht="18">
      <c r="A187" s="770"/>
      <c r="B187" s="819"/>
      <c r="C187" s="803"/>
      <c r="D187" s="97" t="s">
        <v>113</v>
      </c>
      <c r="E187" s="801"/>
      <c r="F187" s="385">
        <v>70</v>
      </c>
      <c r="G187" s="166">
        <v>11</v>
      </c>
      <c r="H187" s="118">
        <v>1773</v>
      </c>
      <c r="I187" s="164">
        <v>11</v>
      </c>
      <c r="J187" s="175">
        <f t="shared" si="24"/>
        <v>1212</v>
      </c>
      <c r="K187" s="3">
        <f t="shared" si="25"/>
        <v>1212</v>
      </c>
      <c r="L187" s="30">
        <f t="shared" si="27"/>
        <v>1260.48</v>
      </c>
      <c r="M187" s="3">
        <f>ROUND(1154*1.05,0)</f>
        <v>1212</v>
      </c>
      <c r="N187" s="176">
        <f t="shared" si="26"/>
        <v>1010</v>
      </c>
      <c r="O187" s="301"/>
      <c r="P187" s="302">
        <v>800.85</v>
      </c>
      <c r="Q187" s="41">
        <v>900</v>
      </c>
    </row>
    <row r="188" spans="1:17" ht="18.600000000000001" thickBot="1">
      <c r="A188" s="770"/>
      <c r="B188" s="820"/>
      <c r="C188" s="772"/>
      <c r="D188" s="99" t="s">
        <v>113</v>
      </c>
      <c r="E188" s="801"/>
      <c r="F188" s="320">
        <v>80</v>
      </c>
      <c r="G188" s="384">
        <v>10</v>
      </c>
      <c r="H188" s="238">
        <v>1842</v>
      </c>
      <c r="I188" s="124">
        <v>10</v>
      </c>
      <c r="J188" s="177">
        <f t="shared" si="24"/>
        <v>1238</v>
      </c>
      <c r="K188" s="4">
        <f t="shared" si="25"/>
        <v>1238</v>
      </c>
      <c r="L188" s="178">
        <f t="shared" si="27"/>
        <v>1287.52</v>
      </c>
      <c r="M188" s="4">
        <f>ROUND(1179*1.05,0)</f>
        <v>1238</v>
      </c>
      <c r="N188" s="179">
        <f t="shared" si="26"/>
        <v>1031.67</v>
      </c>
      <c r="O188" s="303"/>
      <c r="P188" s="304">
        <v>818.64</v>
      </c>
      <c r="Q188" s="49">
        <v>920</v>
      </c>
    </row>
    <row r="189" spans="1:17" ht="18">
      <c r="A189" s="770"/>
      <c r="B189" s="741"/>
      <c r="C189" s="755" t="s">
        <v>28</v>
      </c>
      <c r="D189" s="347" t="s">
        <v>113</v>
      </c>
      <c r="E189" s="801"/>
      <c r="F189" s="319">
        <v>60</v>
      </c>
      <c r="G189" s="165">
        <v>12</v>
      </c>
      <c r="H189" s="116">
        <v>1654</v>
      </c>
      <c r="I189" s="163">
        <v>12</v>
      </c>
      <c r="J189" s="305">
        <f t="shared" si="24"/>
        <v>1184</v>
      </c>
      <c r="K189" s="306">
        <f t="shared" si="25"/>
        <v>1184</v>
      </c>
      <c r="L189" s="173">
        <f t="shared" si="27"/>
        <v>1231.3600000000001</v>
      </c>
      <c r="M189" s="172">
        <f>ROUND(1128*1.05,0)</f>
        <v>1184</v>
      </c>
      <c r="N189" s="307">
        <f t="shared" si="26"/>
        <v>986.67</v>
      </c>
      <c r="O189" s="299"/>
      <c r="P189" s="300">
        <v>783.05</v>
      </c>
      <c r="Q189" s="18">
        <v>880</v>
      </c>
    </row>
    <row r="190" spans="1:17" ht="18">
      <c r="A190" s="770"/>
      <c r="B190" s="702"/>
      <c r="C190" s="756"/>
      <c r="D190" s="97" t="s">
        <v>113</v>
      </c>
      <c r="E190" s="801"/>
      <c r="F190" s="385">
        <v>70</v>
      </c>
      <c r="G190" s="166">
        <v>11</v>
      </c>
      <c r="H190" s="118">
        <v>1773</v>
      </c>
      <c r="I190" s="164">
        <v>11</v>
      </c>
      <c r="J190" s="175">
        <f t="shared" si="24"/>
        <v>1212</v>
      </c>
      <c r="K190" s="3">
        <f t="shared" si="25"/>
        <v>1212</v>
      </c>
      <c r="L190" s="30">
        <f t="shared" si="27"/>
        <v>1260.48</v>
      </c>
      <c r="M190" s="3">
        <f>ROUND(1154*1.05,0)</f>
        <v>1212</v>
      </c>
      <c r="N190" s="176">
        <f t="shared" si="26"/>
        <v>1010</v>
      </c>
      <c r="O190" s="301"/>
      <c r="P190" s="302">
        <v>800.85</v>
      </c>
      <c r="Q190" s="41">
        <v>900</v>
      </c>
    </row>
    <row r="191" spans="1:17" ht="18.600000000000001" thickBot="1">
      <c r="A191" s="815"/>
      <c r="B191" s="703"/>
      <c r="C191" s="757"/>
      <c r="D191" s="99" t="s">
        <v>113</v>
      </c>
      <c r="E191" s="802"/>
      <c r="F191" s="320">
        <v>80</v>
      </c>
      <c r="G191" s="384">
        <v>10</v>
      </c>
      <c r="H191" s="238">
        <v>1842</v>
      </c>
      <c r="I191" s="124">
        <v>10</v>
      </c>
      <c r="J191" s="177">
        <f t="shared" si="24"/>
        <v>1238</v>
      </c>
      <c r="K191" s="4">
        <f t="shared" si="25"/>
        <v>1238</v>
      </c>
      <c r="L191" s="178">
        <f t="shared" si="27"/>
        <v>1287.52</v>
      </c>
      <c r="M191" s="4">
        <f>ROUND(1179*1.05,0)</f>
        <v>1238</v>
      </c>
      <c r="N191" s="179">
        <f t="shared" si="26"/>
        <v>1031.67</v>
      </c>
      <c r="O191" s="303"/>
      <c r="P191" s="304">
        <v>818.64</v>
      </c>
      <c r="Q191" s="49">
        <v>920</v>
      </c>
    </row>
    <row r="192" spans="1:17" ht="15" thickBot="1">
      <c r="A192" s="688" t="s">
        <v>81</v>
      </c>
      <c r="B192" s="689"/>
      <c r="C192" s="689"/>
      <c r="D192" s="689"/>
      <c r="E192" s="689"/>
      <c r="F192" s="689"/>
      <c r="G192" s="689"/>
      <c r="H192" s="689"/>
      <c r="I192" s="689"/>
      <c r="J192" s="689"/>
      <c r="K192" s="689"/>
      <c r="L192" s="689"/>
      <c r="M192" s="689"/>
      <c r="N192" s="690"/>
      <c r="O192" s="373"/>
      <c r="P192" s="374">
        <v>0</v>
      </c>
      <c r="Q192" s="377"/>
    </row>
    <row r="193" spans="1:17" ht="18">
      <c r="A193" s="758">
        <v>4</v>
      </c>
      <c r="B193" s="125"/>
      <c r="C193" s="253" t="s">
        <v>6</v>
      </c>
      <c r="D193" s="108" t="s">
        <v>113</v>
      </c>
      <c r="E193" s="242" t="s">
        <v>41</v>
      </c>
      <c r="F193" s="766">
        <v>60</v>
      </c>
      <c r="G193" s="255">
        <v>10.38</v>
      </c>
      <c r="H193" s="236">
        <v>1448</v>
      </c>
      <c r="I193" s="247">
        <v>13</v>
      </c>
      <c r="J193" s="171">
        <f>ROUND(M193+M193*R193,0)</f>
        <v>1131</v>
      </c>
      <c r="K193" s="172">
        <f>ROUND(J193-(J193*S193),0)</f>
        <v>1131</v>
      </c>
      <c r="L193" s="173">
        <f>M193*1.03</f>
        <v>1164.93</v>
      </c>
      <c r="M193" s="172">
        <f>ROUND(1077*1.05,0)</f>
        <v>1131</v>
      </c>
      <c r="N193" s="214">
        <f>ROUND(M193/1.2,2)</f>
        <v>942.5</v>
      </c>
      <c r="O193" s="299"/>
      <c r="P193" s="300">
        <v>747.46</v>
      </c>
      <c r="Q193" s="18">
        <v>840</v>
      </c>
    </row>
    <row r="194" spans="1:17" ht="18.600000000000001" thickBot="1">
      <c r="A194" s="759"/>
      <c r="B194" s="126"/>
      <c r="C194" s="254" t="s">
        <v>12</v>
      </c>
      <c r="D194" s="99" t="s">
        <v>113</v>
      </c>
      <c r="E194" s="243" t="s">
        <v>41</v>
      </c>
      <c r="F194" s="768"/>
      <c r="G194" s="256">
        <v>10.38</v>
      </c>
      <c r="H194" s="238">
        <v>1448</v>
      </c>
      <c r="I194" s="250">
        <v>13</v>
      </c>
      <c r="J194" s="177">
        <f>ROUND(M194+M194*R194,0)</f>
        <v>1173</v>
      </c>
      <c r="K194" s="4">
        <f>ROUND(J194-(J194*S194),0)</f>
        <v>1173</v>
      </c>
      <c r="L194" s="178">
        <f>M194*1.04</f>
        <v>1219.92</v>
      </c>
      <c r="M194" s="4">
        <f>ROUND(1117*1.05,0)</f>
        <v>1173</v>
      </c>
      <c r="N194" s="222">
        <f>ROUND(M194/1.2,2)</f>
        <v>977.5</v>
      </c>
      <c r="O194" s="303"/>
      <c r="P194" s="304">
        <v>774.58</v>
      </c>
      <c r="Q194" s="49">
        <v>870</v>
      </c>
    </row>
    <row r="195" spans="1:17" ht="16.2" thickBot="1">
      <c r="A195" s="682" t="s">
        <v>9</v>
      </c>
      <c r="B195" s="683"/>
      <c r="C195" s="683"/>
      <c r="D195" s="683"/>
      <c r="E195" s="683"/>
      <c r="F195" s="683"/>
      <c r="G195" s="683"/>
      <c r="H195" s="683"/>
      <c r="I195" s="683"/>
      <c r="J195" s="683"/>
      <c r="K195" s="683"/>
      <c r="L195" s="683"/>
      <c r="M195" s="683"/>
      <c r="N195" s="684"/>
      <c r="O195" s="373"/>
      <c r="P195" s="374">
        <v>0</v>
      </c>
      <c r="Q195" s="378"/>
    </row>
    <row r="196" spans="1:17" ht="15" thickBot="1">
      <c r="A196" s="721" t="s">
        <v>27</v>
      </c>
      <c r="B196" s="722"/>
      <c r="C196" s="722"/>
      <c r="D196" s="722"/>
      <c r="E196" s="722"/>
      <c r="F196" s="722"/>
      <c r="G196" s="722"/>
      <c r="H196" s="722"/>
      <c r="I196" s="722"/>
      <c r="J196" s="722"/>
      <c r="K196" s="722"/>
      <c r="L196" s="722"/>
      <c r="M196" s="722"/>
      <c r="N196" s="723"/>
      <c r="O196" s="373"/>
      <c r="P196" s="374">
        <v>0</v>
      </c>
      <c r="Q196" s="376"/>
    </row>
    <row r="197" spans="1:17" ht="29.4" thickBot="1">
      <c r="A197" s="693">
        <v>1</v>
      </c>
      <c r="B197" s="165"/>
      <c r="C197" s="163" t="s">
        <v>98</v>
      </c>
      <c r="D197" s="108" t="s">
        <v>113</v>
      </c>
      <c r="E197" s="752" t="s">
        <v>22</v>
      </c>
      <c r="F197" s="701">
        <v>160</v>
      </c>
      <c r="G197" s="787">
        <v>5</v>
      </c>
      <c r="H197" s="785">
        <v>1887</v>
      </c>
      <c r="I197" s="750">
        <v>10</v>
      </c>
      <c r="J197" s="84">
        <f>ROUND(M197+M197*R197,0)</f>
        <v>1790</v>
      </c>
      <c r="K197" s="85">
        <f>ROUND(J197-(J197*S197),0)</f>
        <v>1790</v>
      </c>
      <c r="L197" s="73">
        <f>M197*1.05</f>
        <v>1879.5</v>
      </c>
      <c r="M197" s="85">
        <f>ROUND(1705*1.05,0)</f>
        <v>1790</v>
      </c>
      <c r="N197" s="136">
        <f>ROUND(M197/1.2,2)</f>
        <v>1491.67</v>
      </c>
      <c r="O197" s="373"/>
      <c r="P197" s="374">
        <v>1266.0999999999999</v>
      </c>
      <c r="Q197" s="48">
        <v>1450</v>
      </c>
    </row>
    <row r="198" spans="1:17" ht="43.8" thickBot="1">
      <c r="A198" s="754"/>
      <c r="B198" s="166"/>
      <c r="C198" s="164" t="s">
        <v>87</v>
      </c>
      <c r="D198" s="97" t="s">
        <v>113</v>
      </c>
      <c r="E198" s="753"/>
      <c r="F198" s="702"/>
      <c r="G198" s="788"/>
      <c r="H198" s="786"/>
      <c r="I198" s="751"/>
      <c r="J198" s="92">
        <f>ROUND(M198+M198*R198,0)</f>
        <v>1790</v>
      </c>
      <c r="K198" s="229">
        <f>ROUND(J198-(J198*S198),0)</f>
        <v>1790</v>
      </c>
      <c r="L198" s="73">
        <f>M198*1.05</f>
        <v>1879.5</v>
      </c>
      <c r="M198" s="85">
        <f>ROUND(1705*1.05,0)</f>
        <v>1790</v>
      </c>
      <c r="N198" s="137">
        <f>ROUND(M198/1.2,2)</f>
        <v>1491.67</v>
      </c>
      <c r="O198" s="373"/>
      <c r="P198" s="374">
        <v>1266.0999999999999</v>
      </c>
      <c r="Q198" s="55">
        <v>1450</v>
      </c>
    </row>
    <row r="199" spans="1:17" ht="29.4" thickBot="1">
      <c r="A199" s="754"/>
      <c r="B199" s="166"/>
      <c r="C199" s="164" t="s">
        <v>85</v>
      </c>
      <c r="D199" s="97" t="s">
        <v>113</v>
      </c>
      <c r="E199" s="753"/>
      <c r="F199" s="702"/>
      <c r="G199" s="788"/>
      <c r="H199" s="786"/>
      <c r="I199" s="751"/>
      <c r="J199" s="92">
        <f>ROUND(M199+M199*R199,0)</f>
        <v>1790</v>
      </c>
      <c r="K199" s="229">
        <f>ROUND(J199-(J199*S199),0)</f>
        <v>1790</v>
      </c>
      <c r="L199" s="73">
        <f>M199*1.05</f>
        <v>1879.5</v>
      </c>
      <c r="M199" s="85">
        <f>ROUND(1705*1.05,0)</f>
        <v>1790</v>
      </c>
      <c r="N199" s="137">
        <f>ROUND(M199/1.2,2)</f>
        <v>1491.67</v>
      </c>
      <c r="O199" s="373"/>
      <c r="P199" s="374">
        <v>1266.0999999999999</v>
      </c>
      <c r="Q199" s="48">
        <v>1450</v>
      </c>
    </row>
    <row r="200" spans="1:17" ht="43.8" thickBot="1">
      <c r="A200" s="754"/>
      <c r="B200" s="248"/>
      <c r="C200" s="164" t="s">
        <v>83</v>
      </c>
      <c r="D200" s="97" t="s">
        <v>113</v>
      </c>
      <c r="E200" s="753"/>
      <c r="F200" s="702"/>
      <c r="G200" s="788"/>
      <c r="H200" s="786"/>
      <c r="I200" s="751"/>
      <c r="J200" s="92">
        <f>ROUND(M200+M200*R200,0)</f>
        <v>1790</v>
      </c>
      <c r="K200" s="229">
        <f>ROUND(J200-(J200*S200),0)</f>
        <v>1790</v>
      </c>
      <c r="L200" s="73">
        <f>M200*1.05</f>
        <v>1879.5</v>
      </c>
      <c r="M200" s="85">
        <f>ROUND(1705*1.05,0)</f>
        <v>1790</v>
      </c>
      <c r="N200" s="137">
        <f>ROUND(M200/1.2,2)</f>
        <v>1491.67</v>
      </c>
      <c r="O200" s="373"/>
      <c r="P200" s="374">
        <v>1266.0999999999999</v>
      </c>
      <c r="Q200" s="48">
        <v>1450</v>
      </c>
    </row>
    <row r="201" spans="1:17" ht="18.600000000000001" thickBot="1">
      <c r="A201" s="694"/>
      <c r="B201" s="256"/>
      <c r="C201" s="250" t="s">
        <v>6</v>
      </c>
      <c r="D201" s="99" t="s">
        <v>113</v>
      </c>
      <c r="E201" s="243" t="s">
        <v>26</v>
      </c>
      <c r="F201" s="703"/>
      <c r="G201" s="256">
        <v>4.8</v>
      </c>
      <c r="H201" s="238">
        <v>1818</v>
      </c>
      <c r="I201" s="250">
        <v>11</v>
      </c>
      <c r="J201" s="92">
        <f>ROUND(M201+M201*R201,0)</f>
        <v>2155</v>
      </c>
      <c r="K201" s="229">
        <f>J201*0.97</f>
        <v>2090.35</v>
      </c>
      <c r="L201" s="93">
        <f>M201*1.03</f>
        <v>2219.65</v>
      </c>
      <c r="M201" s="85">
        <f>ROUND(2052*1.05,0)</f>
        <v>2155</v>
      </c>
      <c r="N201" s="137">
        <f>ROUND(M201/1.2,2)</f>
        <v>1795.83</v>
      </c>
      <c r="O201" s="373"/>
      <c r="P201" s="374">
        <v>1423.73</v>
      </c>
      <c r="Q201" s="13">
        <v>1600</v>
      </c>
    </row>
    <row r="202" spans="1:17" ht="16.2" thickBot="1">
      <c r="A202" s="682" t="s">
        <v>1</v>
      </c>
      <c r="B202" s="683"/>
      <c r="C202" s="683"/>
      <c r="D202" s="683"/>
      <c r="E202" s="683"/>
      <c r="F202" s="683"/>
      <c r="G202" s="683"/>
      <c r="H202" s="683"/>
      <c r="I202" s="683"/>
      <c r="J202" s="683"/>
      <c r="K202" s="683"/>
      <c r="L202" s="683"/>
      <c r="M202" s="683"/>
      <c r="N202" s="684"/>
      <c r="O202" s="373"/>
      <c r="P202" s="374">
        <v>0</v>
      </c>
      <c r="Q202" s="378"/>
    </row>
    <row r="203" spans="1:17" ht="15" thickBot="1">
      <c r="A203" s="688" t="s">
        <v>31</v>
      </c>
      <c r="B203" s="689"/>
      <c r="C203" s="689"/>
      <c r="D203" s="689"/>
      <c r="E203" s="689"/>
      <c r="F203" s="689"/>
      <c r="G203" s="689"/>
      <c r="H203" s="689"/>
      <c r="I203" s="689"/>
      <c r="J203" s="689"/>
      <c r="K203" s="689"/>
      <c r="L203" s="689"/>
      <c r="M203" s="689"/>
      <c r="N203" s="690"/>
      <c r="O203" s="373"/>
      <c r="P203" s="374">
        <v>0</v>
      </c>
      <c r="Q203" s="379"/>
    </row>
    <row r="204" spans="1:17" ht="18.600000000000001" thickBot="1">
      <c r="A204" s="308">
        <v>1</v>
      </c>
      <c r="B204" s="309"/>
      <c r="C204" s="246" t="s">
        <v>6</v>
      </c>
      <c r="D204" s="108" t="s">
        <v>113</v>
      </c>
      <c r="E204" s="242" t="s">
        <v>19</v>
      </c>
      <c r="F204" s="321" t="s">
        <v>55</v>
      </c>
      <c r="G204" s="255">
        <v>8</v>
      </c>
      <c r="H204" s="236">
        <v>1702</v>
      </c>
      <c r="I204" s="247">
        <v>11</v>
      </c>
      <c r="J204" s="84">
        <f>ROUND(M204+M204*R204,0)</f>
        <v>1136</v>
      </c>
      <c r="K204" s="85">
        <f>J204*0.97</f>
        <v>1101.92</v>
      </c>
      <c r="L204" s="73">
        <f>M204*1.03</f>
        <v>1170.08</v>
      </c>
      <c r="M204" s="85">
        <f>ROUND(1082*1.05,0)</f>
        <v>1136</v>
      </c>
      <c r="N204" s="86">
        <f>ROUND(M204/1.2,2)</f>
        <v>946.67</v>
      </c>
      <c r="O204" s="373"/>
      <c r="P204" s="374">
        <v>751.69</v>
      </c>
      <c r="Q204" s="18">
        <v>845</v>
      </c>
    </row>
    <row r="205" spans="1:17" ht="16.2" thickBot="1">
      <c r="A205" s="682" t="s">
        <v>72</v>
      </c>
      <c r="B205" s="683"/>
      <c r="C205" s="683"/>
      <c r="D205" s="683"/>
      <c r="E205" s="683"/>
      <c r="F205" s="683"/>
      <c r="G205" s="683"/>
      <c r="H205" s="683"/>
      <c r="I205" s="683"/>
      <c r="J205" s="683"/>
      <c r="K205" s="683"/>
      <c r="L205" s="683"/>
      <c r="M205" s="683"/>
      <c r="N205" s="684"/>
      <c r="O205" s="373"/>
      <c r="P205" s="374">
        <v>0</v>
      </c>
      <c r="Q205" s="380"/>
    </row>
    <row r="206" spans="1:17" ht="15" thickBot="1">
      <c r="A206" s="721" t="s">
        <v>77</v>
      </c>
      <c r="B206" s="722"/>
      <c r="C206" s="722"/>
      <c r="D206" s="722"/>
      <c r="E206" s="722"/>
      <c r="F206" s="722"/>
      <c r="G206" s="722"/>
      <c r="H206" s="722"/>
      <c r="I206" s="722"/>
      <c r="J206" s="722"/>
      <c r="K206" s="722"/>
      <c r="L206" s="722"/>
      <c r="M206" s="722"/>
      <c r="N206" s="723"/>
      <c r="O206" s="373"/>
      <c r="P206" s="374">
        <v>0</v>
      </c>
      <c r="Q206" s="381"/>
    </row>
    <row r="207" spans="1:17" ht="18">
      <c r="A207" s="353">
        <v>1</v>
      </c>
      <c r="B207" s="352"/>
      <c r="C207" s="102" t="s">
        <v>73</v>
      </c>
      <c r="D207" s="108" t="s">
        <v>113</v>
      </c>
      <c r="E207" s="366" t="s">
        <v>74</v>
      </c>
      <c r="F207" s="386"/>
      <c r="G207" s="133">
        <v>120</v>
      </c>
      <c r="H207" s="109">
        <v>1260</v>
      </c>
      <c r="I207" s="102">
        <v>15</v>
      </c>
      <c r="J207" s="184">
        <v>66</v>
      </c>
      <c r="K207" s="58">
        <v>64</v>
      </c>
      <c r="L207" s="173">
        <f>M207*1.03</f>
        <v>61.800000000000004</v>
      </c>
      <c r="M207" s="172">
        <f>ROUND(57*1.05,0)</f>
        <v>60</v>
      </c>
      <c r="N207" s="388">
        <f>ROUND(M207/1.2,2)</f>
        <v>50</v>
      </c>
      <c r="O207" s="373"/>
      <c r="P207" s="374">
        <v>38.979999999999997</v>
      </c>
      <c r="Q207" s="240">
        <v>46</v>
      </c>
    </row>
    <row r="208" spans="1:17" ht="18.600000000000001" thickBot="1">
      <c r="A208" s="354">
        <v>2</v>
      </c>
      <c r="B208" s="159"/>
      <c r="C208" s="107" t="s">
        <v>75</v>
      </c>
      <c r="D208" s="99" t="s">
        <v>113</v>
      </c>
      <c r="E208" s="368" t="s">
        <v>74</v>
      </c>
      <c r="F208" s="387"/>
      <c r="G208" s="132">
        <v>120</v>
      </c>
      <c r="H208" s="106" t="s">
        <v>76</v>
      </c>
      <c r="I208" s="107">
        <v>22</v>
      </c>
      <c r="J208" s="185">
        <v>67</v>
      </c>
      <c r="K208" s="61">
        <v>65</v>
      </c>
      <c r="L208" s="4">
        <f>M208*1.03</f>
        <v>62.83</v>
      </c>
      <c r="M208" s="4">
        <v>61</v>
      </c>
      <c r="N208" s="389">
        <f>ROUND(M208/1.2,2)</f>
        <v>50.83</v>
      </c>
      <c r="O208" s="382"/>
      <c r="P208" s="383">
        <v>38.14</v>
      </c>
      <c r="Q208" s="241">
        <v>45</v>
      </c>
    </row>
    <row r="209" spans="1:17" ht="18">
      <c r="A209" s="65"/>
      <c r="B209" s="74"/>
      <c r="C209" s="74"/>
      <c r="D209" s="66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</row>
    <row r="210" spans="1:17" ht="15.6">
      <c r="A210" s="370"/>
      <c r="B210" s="369" t="s">
        <v>141</v>
      </c>
      <c r="C210" s="369"/>
      <c r="D210" s="369"/>
      <c r="E210" s="369"/>
      <c r="F210" s="369"/>
      <c r="G210" s="369"/>
      <c r="H210" s="369"/>
      <c r="I210" s="369"/>
      <c r="J210" s="369"/>
      <c r="K210" s="369"/>
      <c r="L210" s="369"/>
      <c r="M210" s="369"/>
      <c r="N210" s="369"/>
      <c r="O210" s="369"/>
      <c r="P210" s="369"/>
      <c r="Q210" s="371"/>
    </row>
  </sheetData>
  <mergeCells count="174">
    <mergeCell ref="B10:D10"/>
    <mergeCell ref="A11:N11"/>
    <mergeCell ref="A12:N12"/>
    <mergeCell ref="A14:N14"/>
    <mergeCell ref="A15:A16"/>
    <mergeCell ref="E15:E16"/>
    <mergeCell ref="M4:P4"/>
    <mergeCell ref="M5:P5"/>
    <mergeCell ref="M6:P6"/>
    <mergeCell ref="M7:P7"/>
    <mergeCell ref="A8:J8"/>
    <mergeCell ref="A9:N9"/>
    <mergeCell ref="A17:N17"/>
    <mergeCell ref="A18:A30"/>
    <mergeCell ref="E18:E23"/>
    <mergeCell ref="F18:F30"/>
    <mergeCell ref="G18:G23"/>
    <mergeCell ref="H18:H23"/>
    <mergeCell ref="I18:I23"/>
    <mergeCell ref="J19:J27"/>
    <mergeCell ref="K19:K27"/>
    <mergeCell ref="L19:L27"/>
    <mergeCell ref="P28:P30"/>
    <mergeCell ref="Q28:Q30"/>
    <mergeCell ref="A31:N31"/>
    <mergeCell ref="M19:M27"/>
    <mergeCell ref="N19:N27"/>
    <mergeCell ref="P19:P26"/>
    <mergeCell ref="Q19:Q26"/>
    <mergeCell ref="E24:E30"/>
    <mergeCell ref="G24:G30"/>
    <mergeCell ref="H24:H30"/>
    <mergeCell ref="I24:I30"/>
    <mergeCell ref="J28:J30"/>
    <mergeCell ref="K28:K30"/>
    <mergeCell ref="A32:A36"/>
    <mergeCell ref="E32:E36"/>
    <mergeCell ref="F32:F36"/>
    <mergeCell ref="A37:N37"/>
    <mergeCell ref="A38:A40"/>
    <mergeCell ref="E38:E40"/>
    <mergeCell ref="F38:F40"/>
    <mergeCell ref="L28:L30"/>
    <mergeCell ref="M28:M30"/>
    <mergeCell ref="N28:N30"/>
    <mergeCell ref="A51:N51"/>
    <mergeCell ref="A52:A62"/>
    <mergeCell ref="E52:E55"/>
    <mergeCell ref="F52:F62"/>
    <mergeCell ref="E56:E59"/>
    <mergeCell ref="E60:E62"/>
    <mergeCell ref="A41:N41"/>
    <mergeCell ref="A42:A47"/>
    <mergeCell ref="E42:E47"/>
    <mergeCell ref="F42:F47"/>
    <mergeCell ref="A48:N48"/>
    <mergeCell ref="A49:A50"/>
    <mergeCell ref="E49:E50"/>
    <mergeCell ref="F49:F50"/>
    <mergeCell ref="A63:N63"/>
    <mergeCell ref="A65:N65"/>
    <mergeCell ref="A66:A99"/>
    <mergeCell ref="B66:B67"/>
    <mergeCell ref="C66:C67"/>
    <mergeCell ref="D66:D67"/>
    <mergeCell ref="E66:E73"/>
    <mergeCell ref="B68:B69"/>
    <mergeCell ref="C68:C69"/>
    <mergeCell ref="D68:D69"/>
    <mergeCell ref="B70:B71"/>
    <mergeCell ref="C70:C71"/>
    <mergeCell ref="D70:D71"/>
    <mergeCell ref="C74:C75"/>
    <mergeCell ref="E74:E99"/>
    <mergeCell ref="C76:C77"/>
    <mergeCell ref="C78:C79"/>
    <mergeCell ref="C80:C81"/>
    <mergeCell ref="C82:C83"/>
    <mergeCell ref="C84:C85"/>
    <mergeCell ref="C98:C99"/>
    <mergeCell ref="A100:N100"/>
    <mergeCell ref="A101:A104"/>
    <mergeCell ref="E101:E104"/>
    <mergeCell ref="F101:F104"/>
    <mergeCell ref="A105:N105"/>
    <mergeCell ref="C86:C87"/>
    <mergeCell ref="C88:C89"/>
    <mergeCell ref="C90:C91"/>
    <mergeCell ref="C92:C93"/>
    <mergeCell ref="C94:C95"/>
    <mergeCell ref="C96:C97"/>
    <mergeCell ref="A106:A107"/>
    <mergeCell ref="E106:E107"/>
    <mergeCell ref="F106:F107"/>
    <mergeCell ref="A108:N108"/>
    <mergeCell ref="A109:A126"/>
    <mergeCell ref="B109:B111"/>
    <mergeCell ref="C109:C112"/>
    <mergeCell ref="E109:E111"/>
    <mergeCell ref="B113:B114"/>
    <mergeCell ref="C113:C114"/>
    <mergeCell ref="B119:B120"/>
    <mergeCell ref="C119:C120"/>
    <mergeCell ref="E119:E120"/>
    <mergeCell ref="C121:C122"/>
    <mergeCell ref="E121:E122"/>
    <mergeCell ref="A127:N127"/>
    <mergeCell ref="E113:E114"/>
    <mergeCell ref="C115:C116"/>
    <mergeCell ref="E115:E116"/>
    <mergeCell ref="B117:B118"/>
    <mergeCell ref="C117:C118"/>
    <mergeCell ref="E117:E118"/>
    <mergeCell ref="A128:A140"/>
    <mergeCell ref="B128:B130"/>
    <mergeCell ref="C128:C130"/>
    <mergeCell ref="F128:F140"/>
    <mergeCell ref="B131:B132"/>
    <mergeCell ref="C131:C132"/>
    <mergeCell ref="B133:B134"/>
    <mergeCell ref="C133:C134"/>
    <mergeCell ref="C135:C136"/>
    <mergeCell ref="A141:N141"/>
    <mergeCell ref="A144:N144"/>
    <mergeCell ref="B145:D145"/>
    <mergeCell ref="A146:N146"/>
    <mergeCell ref="A148:N148"/>
    <mergeCell ref="A149:A158"/>
    <mergeCell ref="E149:E158"/>
    <mergeCell ref="F149:F158"/>
    <mergeCell ref="G149:G158"/>
    <mergeCell ref="H149:H158"/>
    <mergeCell ref="A166:N166"/>
    <mergeCell ref="A167:A170"/>
    <mergeCell ref="F167:F170"/>
    <mergeCell ref="A172:Q172"/>
    <mergeCell ref="B173:D173"/>
    <mergeCell ref="A174:N174"/>
    <mergeCell ref="I149:I158"/>
    <mergeCell ref="A159:N159"/>
    <mergeCell ref="A160:A165"/>
    <mergeCell ref="E160:E165"/>
    <mergeCell ref="F160:F165"/>
    <mergeCell ref="G160:G165"/>
    <mergeCell ref="H160:H165"/>
    <mergeCell ref="I160:I165"/>
    <mergeCell ref="C186:C188"/>
    <mergeCell ref="B189:B191"/>
    <mergeCell ref="C189:C191"/>
    <mergeCell ref="A192:N192"/>
    <mergeCell ref="A193:A194"/>
    <mergeCell ref="F193:F194"/>
    <mergeCell ref="A175:A176"/>
    <mergeCell ref="A177:N177"/>
    <mergeCell ref="A179:N179"/>
    <mergeCell ref="A180:A191"/>
    <mergeCell ref="B180:B182"/>
    <mergeCell ref="C180:C182"/>
    <mergeCell ref="E180:E191"/>
    <mergeCell ref="B183:B185"/>
    <mergeCell ref="C183:C185"/>
    <mergeCell ref="B186:B188"/>
    <mergeCell ref="A202:N202"/>
    <mergeCell ref="A203:N203"/>
    <mergeCell ref="A205:N205"/>
    <mergeCell ref="A206:N206"/>
    <mergeCell ref="A195:N195"/>
    <mergeCell ref="A196:N196"/>
    <mergeCell ref="A197:A201"/>
    <mergeCell ref="E197:E200"/>
    <mergeCell ref="F197:F201"/>
    <mergeCell ref="G197:G200"/>
    <mergeCell ref="H197:H200"/>
    <mergeCell ref="I197:I20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 БРАЕР-2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Литейщикова Екатерина Николаевна</dc:creator>
  <cp:lastModifiedBy>Alexey</cp:lastModifiedBy>
  <cp:lastPrinted>2023-03-02T09:45:55Z</cp:lastPrinted>
  <dcterms:created xsi:type="dcterms:W3CDTF">2013-11-15T06:29:05Z</dcterms:created>
  <dcterms:modified xsi:type="dcterms:W3CDTF">2025-02-14T07:46:38Z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TAG2">
    <vt:lpwstr>000800c4d20000000000010290110207f7000400038000</vt:lpwstr>
  </property>
</Properties>
</file>